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ontanaedu-my.sharepoint.com/personal/s31g471_msu_montana_edu/Documents/BoxMigratedData/VPREDGE/"/>
    </mc:Choice>
  </mc:AlternateContent>
  <xr:revisionPtr revIDLastSave="0" documentId="8_{78D3CBB8-2346-4967-8149-EB4B203B7804}" xr6:coauthVersionLast="47" xr6:coauthVersionMax="47" xr10:uidLastSave="{00000000-0000-0000-0000-000000000000}"/>
  <bookViews>
    <workbookView xWindow="-108" yWindow="-108" windowWidth="23256" windowHeight="12456" xr2:uid="{2A3803DB-3E1C-4D81-944D-8C9FDCF6E1DB}"/>
  </bookViews>
  <sheets>
    <sheet name="Student" sheetId="1" r:id="rId1"/>
    <sheet name="Lists" sheetId="3" r:id="rId2"/>
  </sheets>
  <definedNames>
    <definedName name="_xlnm.Print_Area" localSheetId="0">Student!$A$1:$V$51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3" l="1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D28" i="1" l="1"/>
  <c r="D33" i="1"/>
  <c r="A104" i="3"/>
  <c r="B32" i="3"/>
  <c r="B33" i="3"/>
  <c r="B34" i="3"/>
  <c r="B35" i="3"/>
  <c r="B36" i="3"/>
  <c r="B37" i="3"/>
  <c r="B38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C4" i="1" s="1"/>
  <c r="B27" i="3"/>
  <c r="B28" i="3"/>
  <c r="B29" i="3"/>
  <c r="B30" i="3"/>
  <c r="B31" i="3"/>
  <c r="B7" i="3"/>
  <c r="L57" i="3"/>
  <c r="C42" i="3" s="1"/>
  <c r="B86" i="3"/>
  <c r="C86" i="3" s="1"/>
  <c r="D86" i="3" s="1"/>
  <c r="E86" i="3" s="1"/>
  <c r="F86" i="3" s="1"/>
  <c r="B85" i="3" l="1"/>
  <c r="C85" i="3" s="1"/>
  <c r="D85" i="3" s="1"/>
  <c r="E85" i="3" s="1"/>
  <c r="F85" i="3" s="1"/>
  <c r="C81" i="3" l="1"/>
  <c r="C80" i="3"/>
  <c r="C79" i="3"/>
  <c r="C78" i="3"/>
  <c r="C77" i="3"/>
  <c r="B81" i="3"/>
  <c r="B80" i="3"/>
  <c r="B79" i="3"/>
  <c r="B78" i="3"/>
  <c r="B77" i="3"/>
  <c r="N5" i="1" l="1"/>
  <c r="F103" i="3" l="1"/>
  <c r="E103" i="3"/>
  <c r="D103" i="3"/>
  <c r="C103" i="3"/>
  <c r="B103" i="3"/>
  <c r="B102" i="3"/>
  <c r="B101" i="3"/>
  <c r="F28" i="1" l="1"/>
  <c r="C100" i="3" l="1"/>
  <c r="D100" i="3" s="1"/>
  <c r="E100" i="3" s="1"/>
  <c r="F100" i="3" s="1"/>
  <c r="C99" i="3"/>
  <c r="D99" i="3" s="1"/>
  <c r="E99" i="3" s="1"/>
  <c r="R43" i="1"/>
  <c r="R48" i="1"/>
  <c r="R38" i="1"/>
  <c r="R33" i="1"/>
  <c r="R28" i="1"/>
  <c r="P48" i="1"/>
  <c r="P43" i="1"/>
  <c r="P38" i="1"/>
  <c r="P33" i="1"/>
  <c r="P28" i="1"/>
  <c r="F96" i="3"/>
  <c r="E96" i="3"/>
  <c r="D96" i="3"/>
  <c r="C96" i="3"/>
  <c r="B96" i="3"/>
  <c r="F89" i="3"/>
  <c r="E89" i="3"/>
  <c r="D89" i="3"/>
  <c r="C89" i="3"/>
  <c r="B89" i="3"/>
  <c r="L68" i="3"/>
  <c r="C53" i="3" s="1"/>
  <c r="L67" i="3"/>
  <c r="C52" i="3" s="1"/>
  <c r="L66" i="3"/>
  <c r="C51" i="3" s="1"/>
  <c r="L65" i="3"/>
  <c r="C50" i="3" s="1"/>
  <c r="L64" i="3"/>
  <c r="C49" i="3" s="1"/>
  <c r="L63" i="3"/>
  <c r="C48" i="3" s="1"/>
  <c r="L62" i="3"/>
  <c r="C47" i="3" s="1"/>
  <c r="B92" i="3" s="1"/>
  <c r="L61" i="3"/>
  <c r="C46" i="3" s="1"/>
  <c r="L60" i="3"/>
  <c r="C45" i="3" s="1"/>
  <c r="L59" i="3"/>
  <c r="C44" i="3" s="1"/>
  <c r="L58" i="3"/>
  <c r="C43" i="3" s="1"/>
  <c r="B87" i="3"/>
  <c r="C87" i="3" s="1"/>
  <c r="D87" i="3" s="1"/>
  <c r="E87" i="3" s="1"/>
  <c r="F87" i="3" s="1"/>
  <c r="D48" i="1"/>
  <c r="F48" i="1" s="1"/>
  <c r="D47" i="1"/>
  <c r="F47" i="1" s="1"/>
  <c r="D43" i="1"/>
  <c r="F43" i="1" s="1"/>
  <c r="D42" i="1"/>
  <c r="F42" i="1" s="1"/>
  <c r="D38" i="1"/>
  <c r="F38" i="1" s="1"/>
  <c r="D37" i="1"/>
  <c r="F33" i="1"/>
  <c r="D27" i="1"/>
  <c r="C102" i="3"/>
  <c r="D102" i="3" s="1"/>
  <c r="E102" i="3" s="1"/>
  <c r="F102" i="3" s="1"/>
  <c r="C101" i="3"/>
  <c r="D101" i="3" s="1"/>
  <c r="E101" i="3" s="1"/>
  <c r="F101" i="3" s="1"/>
  <c r="B84" i="3"/>
  <c r="C84" i="3" s="1"/>
  <c r="D84" i="3" s="1"/>
  <c r="E84" i="3" s="1"/>
  <c r="F84" i="3" s="1"/>
  <c r="B94" i="3" l="1"/>
  <c r="C94" i="3" s="1"/>
  <c r="D94" i="3" s="1"/>
  <c r="E94" i="3" s="1"/>
  <c r="F94" i="3" s="1"/>
  <c r="C92" i="3"/>
  <c r="D92" i="3" s="1"/>
  <c r="E92" i="3" s="1"/>
  <c r="F92" i="3" s="1"/>
  <c r="B93" i="3"/>
  <c r="C93" i="3" s="1"/>
  <c r="D93" i="3" s="1"/>
  <c r="E93" i="3" s="1"/>
  <c r="F93" i="3" s="1"/>
  <c r="B95" i="3"/>
  <c r="C95" i="3" s="1"/>
  <c r="D95" i="3" s="1"/>
  <c r="E95" i="3" s="1"/>
  <c r="F95" i="3" s="1"/>
  <c r="F37" i="1"/>
  <c r="H2" i="3"/>
  <c r="F27" i="1"/>
  <c r="F4" i="3"/>
  <c r="F2" i="3"/>
  <c r="F3" i="3"/>
  <c r="H27" i="1" s="1" a="1"/>
  <c r="H27" i="1" s="1"/>
  <c r="H4" i="3"/>
  <c r="H3" i="3"/>
  <c r="I4" i="3"/>
  <c r="I3" i="3"/>
  <c r="I2" i="3"/>
  <c r="J4" i="3"/>
  <c r="J3" i="3"/>
  <c r="J2" i="3"/>
  <c r="F99" i="3"/>
  <c r="D32" i="1"/>
  <c r="B88" i="3"/>
  <c r="C88" i="3" s="1"/>
  <c r="D88" i="3" s="1"/>
  <c r="E88" i="3" s="1"/>
  <c r="F88" i="3" s="1"/>
  <c r="T48" i="1"/>
  <c r="F32" i="1" l="1"/>
  <c r="G3" i="3"/>
  <c r="G2" i="3"/>
  <c r="P47" i="1"/>
  <c r="P49" i="1" s="1"/>
  <c r="R27" i="1"/>
  <c r="P27" i="1"/>
  <c r="G4" i="3"/>
  <c r="P37" i="1"/>
  <c r="R32" i="1"/>
  <c r="P42" i="1"/>
  <c r="R37" i="1"/>
  <c r="R47" i="1"/>
  <c r="P32" i="1"/>
  <c r="R42" i="1"/>
  <c r="H37" i="1" a="1"/>
  <c r="H37" i="1" s="1"/>
  <c r="H47" i="1" a="1"/>
  <c r="H47" i="1" s="1"/>
  <c r="H42" i="1" a="1"/>
  <c r="H42" i="1" s="1"/>
  <c r="L27" i="1"/>
  <c r="T33" i="1"/>
  <c r="T38" i="1"/>
  <c r="T43" i="1"/>
  <c r="T28" i="1"/>
  <c r="T27" i="1" l="1"/>
  <c r="T32" i="1"/>
  <c r="H32" i="1" a="1"/>
  <c r="H32" i="1" s="1"/>
  <c r="T37" i="1"/>
  <c r="R29" i="1"/>
  <c r="T47" i="1"/>
  <c r="T42" i="1" l="1"/>
  <c r="R49" i="1" l="1"/>
  <c r="T49" i="1" s="1"/>
  <c r="P44" i="1"/>
  <c r="R44" i="1"/>
  <c r="P39" i="1"/>
  <c r="R39" i="1"/>
  <c r="P34" i="1"/>
  <c r="R34" i="1"/>
  <c r="P29" i="1"/>
  <c r="T29" i="1" s="1"/>
  <c r="T34" i="1" l="1"/>
  <c r="T39" i="1"/>
  <c r="T44" i="1"/>
  <c r="D44" i="1"/>
  <c r="D34" i="1"/>
  <c r="D39" i="1"/>
  <c r="D29" i="1"/>
  <c r="D49" i="1"/>
  <c r="L43" i="1" l="1"/>
  <c r="N43" i="1" s="1"/>
  <c r="L38" i="1"/>
  <c r="N38" i="1" s="1"/>
  <c r="L48" i="1"/>
  <c r="N48" i="1" s="1"/>
  <c r="H44" i="1"/>
  <c r="H39" i="1"/>
  <c r="H49" i="1"/>
  <c r="L28" i="1"/>
  <c r="N28" i="1" s="1"/>
  <c r="L47" i="1"/>
  <c r="F29" i="1"/>
  <c r="H34" i="1"/>
  <c r="L33" i="1"/>
  <c r="N33" i="1" s="1"/>
  <c r="H29" i="1"/>
  <c r="F34" i="1"/>
  <c r="F39" i="1"/>
  <c r="L32" i="1"/>
  <c r="F49" i="1"/>
  <c r="F44" i="1"/>
  <c r="L42" i="1"/>
  <c r="N42" i="1" s="1"/>
  <c r="L37" i="1"/>
  <c r="N27" i="1"/>
  <c r="N44" i="1" l="1"/>
  <c r="L49" i="1"/>
  <c r="N29" i="1"/>
  <c r="N47" i="1"/>
  <c r="N49" i="1" s="1"/>
  <c r="L34" i="1"/>
  <c r="N32" i="1"/>
  <c r="N34" i="1" s="1"/>
  <c r="L44" i="1"/>
  <c r="L29" i="1"/>
  <c r="L39" i="1"/>
  <c r="N37" i="1"/>
  <c r="N3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Buker, Tracy</author>
  </authors>
  <commentList>
    <comment ref="C5" authorId="0" shapeId="0" xr:uid="{3E7C2BBA-FEA8-4A52-8E32-FA513DDFC34A}">
      <text>
        <r>
          <rPr>
            <sz val="9"/>
            <color indexed="81"/>
            <rFont val="Tahoma"/>
            <family val="2"/>
          </rPr>
          <t>The monthly salary cannot be lower than the amount in the bargaining agreement, i.e. https://mus.edu/hr/cba/024-CBA.pdf of $663/month for a 19-hour appointment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<sst xmlns="http://schemas.openxmlformats.org/spreadsheetml/2006/main" count="256" uniqueCount="136">
  <si>
    <t>Name:</t>
  </si>
  <si>
    <t>Spirit Bobcat</t>
  </si>
  <si>
    <t>Department:</t>
  </si>
  <si>
    <t>Electrical &amp; Computer Engr</t>
  </si>
  <si>
    <r>
      <rPr>
        <i/>
        <sz val="11"/>
        <color theme="1"/>
        <rFont val="Calibri"/>
        <family val="2"/>
        <scheme val="minor"/>
      </rPr>
      <t>Minimum</t>
    </r>
    <r>
      <rPr>
        <sz val="11"/>
        <color theme="1"/>
        <rFont val="Calibri"/>
        <family val="2"/>
        <scheme val="minor"/>
      </rPr>
      <t xml:space="preserve"> Dept Monthly Salary: 110% OSU Fall 2022</t>
    </r>
  </si>
  <si>
    <t>Monthly salary:</t>
  </si>
  <si>
    <t>Annual Rate:</t>
  </si>
  <si>
    <t>Period of Support*:</t>
  </si>
  <si>
    <t>Full Calendar Year</t>
  </si>
  <si>
    <t xml:space="preserve">*Each selection assumes 6 credits per academic semester. Select Manual to </t>
  </si>
  <si>
    <t xml:space="preserve">  budget tuition and fees for a different number of credits per semester.</t>
  </si>
  <si>
    <t>Manual Entry:</t>
  </si>
  <si>
    <t>Academic</t>
  </si>
  <si>
    <t>Summer</t>
  </si>
  <si>
    <t>Fall</t>
  </si>
  <si>
    <t>Spring</t>
  </si>
  <si>
    <t xml:space="preserve">Use this section to manually calculate salary and tuition &amp; fees, by completing calendar to the right and credits per semester. </t>
  </si>
  <si>
    <t>Effort</t>
  </si>
  <si>
    <t>Aug</t>
  </si>
  <si>
    <t>Sept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</si>
  <si>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</si>
  <si>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</si>
  <si>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</si>
  <si>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</si>
  <si>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</si>
  <si>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</si>
  <si>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</si>
  <si>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</si>
  <si>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</si>
  <si>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</si>
  <si>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Year 1</t>
  </si>
  <si>
    <t>Y= Yes supported</t>
  </si>
  <si>
    <t>Year 2</t>
  </si>
  <si>
    <t>N or blank = no support</t>
  </si>
  <si>
    <t>Year 3</t>
  </si>
  <si>
    <t>Year 4</t>
  </si>
  <si>
    <t>Year 5</t>
  </si>
  <si>
    <t>Credits per Fall Semester:</t>
  </si>
  <si>
    <t>Credits per Spring Semester:</t>
  </si>
  <si>
    <t>Credits per Summer Semester (if applicable):</t>
  </si>
  <si>
    <r>
      <rPr>
        <b/>
        <u/>
        <sz val="11"/>
        <color theme="1"/>
        <rFont val="Calibri"/>
        <family val="2"/>
        <scheme val="minor"/>
      </rPr>
      <t>CBA Additional Payment</t>
    </r>
    <r>
      <rPr>
        <b/>
        <sz val="11"/>
        <color theme="1"/>
        <rFont val="Calibri"/>
        <family val="2"/>
        <scheme val="minor"/>
      </rPr>
      <t xml:space="preserve">
Will this support be for a first year Grad student?</t>
    </r>
  </si>
  <si>
    <t>No, student is in second Year</t>
  </si>
  <si>
    <t>Does grant allow (2%) COLA?</t>
  </si>
  <si>
    <t>Pay annual Health Insurance Fee ($4,620)?</t>
  </si>
  <si>
    <t>Budget Calculator:</t>
  </si>
  <si>
    <t># Months of support</t>
  </si>
  <si>
    <t>Salary</t>
  </si>
  <si>
    <t>CBA Additional Payment</t>
  </si>
  <si>
    <t>Total Salary</t>
  </si>
  <si>
    <t>Fringe Benefits</t>
  </si>
  <si>
    <t>Tuition</t>
  </si>
  <si>
    <t>Fees
(non-resident)</t>
  </si>
  <si>
    <t>Total  Tuition &amp; Fees (Awards)</t>
  </si>
  <si>
    <t>Academic Months (Aug - May)</t>
  </si>
  <si>
    <t>Summer Months (June- July)</t>
  </si>
  <si>
    <t>Year 1 Total</t>
  </si>
  <si>
    <t xml:space="preserve">Year 2  </t>
  </si>
  <si>
    <t>Year 2 Total</t>
  </si>
  <si>
    <t>Year 3 Total</t>
  </si>
  <si>
    <t>Year 4 Total</t>
  </si>
  <si>
    <t>Year 5 Total</t>
  </si>
  <si>
    <t>Y</t>
  </si>
  <si>
    <t>Yes</t>
  </si>
  <si>
    <t>N</t>
  </si>
  <si>
    <t>No, student is in third year or later</t>
  </si>
  <si>
    <t> Dept</t>
  </si>
  <si>
    <t xml:space="preserve">Potential 1-month stipend = </t>
  </si>
  <si>
    <t>Annual Stipend= 110% OSU, 10month</t>
  </si>
  <si>
    <t>ODU</t>
  </si>
  <si>
    <t>OSU Avg. Salary, 10month</t>
  </si>
  <si>
    <t>Agricultural Econ &amp; Econ</t>
  </si>
  <si>
    <t>no updated data, use averag</t>
  </si>
  <si>
    <t>Agricultural Education</t>
  </si>
  <si>
    <t>American Studies</t>
  </si>
  <si>
    <t>OSU Avg. Salary</t>
  </si>
  <si>
    <t>Animal &amp; Range Sciences</t>
  </si>
  <si>
    <t>Business</t>
  </si>
  <si>
    <t>Chemical &amp; Biological Engr</t>
  </si>
  <si>
    <t>Chemistry &amp; Biochemistry</t>
  </si>
  <si>
    <t>Civil Engineering</t>
  </si>
  <si>
    <t>Computer Science</t>
  </si>
  <si>
    <t>Earth Sciences</t>
  </si>
  <si>
    <t>Ecology</t>
  </si>
  <si>
    <t>Education</t>
  </si>
  <si>
    <t>English</t>
  </si>
  <si>
    <t>Entomology</t>
  </si>
  <si>
    <t>Graduate Studies</t>
  </si>
  <si>
    <t>Health &amp; Human Development</t>
  </si>
  <si>
    <t>History &amp; Philosophy</t>
  </si>
  <si>
    <t>Land Resources &amp; Enviro Sci</t>
  </si>
  <si>
    <t>Mathematical Sciences</t>
  </si>
  <si>
    <t>Mechanical &amp; Industrial Engr</t>
  </si>
  <si>
    <t>Microbiology and Cell Biology</t>
  </si>
  <si>
    <t>Native American Studies</t>
  </si>
  <si>
    <t>2020-22</t>
  </si>
  <si>
    <t>Nursing</t>
  </si>
  <si>
    <t>Physics</t>
  </si>
  <si>
    <t>Plant Sciences/Plant Pathology</t>
  </si>
  <si>
    <t>Political Science</t>
  </si>
  <si>
    <t>Psychology</t>
  </si>
  <si>
    <t>School of Architecture</t>
  </si>
  <si>
    <t>School of Art</t>
  </si>
  <si>
    <t>School of Film &amp; Photography</t>
  </si>
  <si>
    <t>Science Education</t>
  </si>
  <si>
    <t>Credits</t>
  </si>
  <si>
    <t>Fees (sum table below + non-resident building fee)</t>
  </si>
  <si>
    <t>12+</t>
  </si>
  <si>
    <t>Schedule of Fees</t>
  </si>
  <si>
    <t>Registration Fee</t>
  </si>
  <si>
    <t>Building Fee</t>
  </si>
  <si>
    <t>SFEP Fee</t>
  </si>
  <si>
    <t>Computer Fee</t>
  </si>
  <si>
    <t>ASMSU Fee</t>
  </si>
  <si>
    <t>Health/ Dental Fee</t>
  </si>
  <si>
    <t>SU Fee</t>
  </si>
  <si>
    <t>Equipment Fee</t>
  </si>
  <si>
    <t>Information Technology Fee</t>
  </si>
  <si>
    <t>Athletic Fee</t>
  </si>
  <si>
    <t>Total</t>
  </si>
  <si>
    <r>
      <rPr>
        <b/>
        <sz val="11"/>
        <color rgb="FF000000"/>
        <rFont val="Arial"/>
        <family val="2"/>
      </rPr>
      <t>Non- Resident Building Fee</t>
    </r>
    <r>
      <rPr>
        <sz val="11"/>
        <color indexed="8"/>
        <rFont val="Arial"/>
        <family val="2"/>
      </rPr>
      <t xml:space="preserve">
</t>
    </r>
  </si>
  <si>
    <t>Academic Months</t>
  </si>
  <si>
    <t>Summer Months</t>
  </si>
  <si>
    <t>Summer Semester Only</t>
  </si>
  <si>
    <t>One Semester Only</t>
  </si>
  <si>
    <t>One Semester and Summer</t>
  </si>
  <si>
    <t>Full Academic Year</t>
  </si>
  <si>
    <t>Manual</t>
  </si>
  <si>
    <t>Manual Year 1</t>
  </si>
  <si>
    <t>Manual Year 2</t>
  </si>
  <si>
    <t>Manual Year 3</t>
  </si>
  <si>
    <t>Manual Year 4</t>
  </si>
  <si>
    <t>Manual Year 5</t>
  </si>
  <si>
    <t xml:space="preserve">Year 1 </t>
  </si>
  <si>
    <t xml:space="preserve">Year 2 </t>
  </si>
  <si>
    <t>Fees</t>
  </si>
  <si>
    <t>Health Insurance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</si>
</sst>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##0.00;###0.00"/>
    <numFmt numFmtId="166" formatCode="#,##0.00;#,##0.00"/>
    <numFmt numFmtId="167" formatCode="###0;###0"/>
    <numFmt numFmtId="168" formatCode="&quot;$&quot;#,##0"/>
    <numFmt numFmtId="169" formatCode="_(&quot;$&quot;* #,##0.0_);_(&quot;$&quot;* \(#,##0.0\);_(&quot;$&quot;* &quot;-&quot;??_);_(@_)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Times New Roman"/>
      <family val="1"/>
      <charset val="204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666666"/>
      <name val="Arial"/>
      <family val="2"/>
    </font>
    <font>
      <sz val="11"/>
      <color rgb="FF333333"/>
      <name val="Arial"/>
      <family val="2"/>
    </font>
    <font>
      <sz val="11"/>
      <name val="Calibri"/>
      <family val="2"/>
    </font>
    <font>
      <b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</cellStyleXfs>
  <cellXfs count="111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44" fontId="2" fillId="0" borderId="0" xfId="0" applyNumberFormat="1" applyFont="1"/>
    <xf numFmtId="44" fontId="0" fillId="0" borderId="0" xfId="0" applyNumberFormat="1"/>
    <xf numFmtId="0" fontId="0" fillId="5" borderId="0" xfId="0" applyFill="1"/>
    <xf numFmtId="0" fontId="2" fillId="5" borderId="0" xfId="0" applyFont="1" applyFill="1" applyAlignment="1">
      <alignment wrapText="1"/>
    </xf>
    <xf numFmtId="0" fontId="0" fillId="5" borderId="0" xfId="0" applyFill="1" applyAlignment="1">
      <alignment wrapText="1"/>
    </xf>
    <xf numFmtId="0" fontId="2" fillId="5" borderId="0" xfId="0" applyFont="1" applyFill="1"/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1" xfId="0" applyFill="1" applyBorder="1"/>
    <xf numFmtId="0" fontId="0" fillId="2" borderId="1" xfId="0" applyFill="1" applyBorder="1"/>
    <xf numFmtId="0" fontId="0" fillId="0" borderId="0" xfId="0" applyAlignment="1">
      <alignment horizontal="left" vertical="top"/>
    </xf>
    <xf numFmtId="0" fontId="0" fillId="4" borderId="0" xfId="0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vertical="center" wrapText="1"/>
    </xf>
    <xf numFmtId="44" fontId="10" fillId="4" borderId="0" xfId="1" applyFont="1" applyFill="1" applyBorder="1" applyAlignment="1" applyProtection="1">
      <alignment vertical="center" wrapText="1"/>
    </xf>
    <xf numFmtId="44" fontId="6" fillId="0" borderId="0" xfId="1" applyFont="1" applyBorder="1" applyAlignment="1" applyProtection="1">
      <alignment horizontal="left" vertical="top"/>
    </xf>
    <xf numFmtId="0" fontId="7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43" fontId="5" fillId="4" borderId="0" xfId="1" applyNumberFormat="1" applyFont="1" applyFill="1" applyBorder="1" applyAlignment="1" applyProtection="1">
      <alignment horizontal="right" vertical="top" wrapText="1"/>
    </xf>
    <xf numFmtId="43" fontId="5" fillId="0" borderId="0" xfId="1" applyNumberFormat="1" applyFont="1" applyFill="1" applyBorder="1" applyAlignment="1" applyProtection="1">
      <alignment horizontal="right" vertical="top" wrapText="1"/>
    </xf>
    <xf numFmtId="43" fontId="5" fillId="6" borderId="0" xfId="1" applyNumberFormat="1" applyFont="1" applyFill="1" applyBorder="1" applyAlignment="1" applyProtection="1">
      <alignment horizontal="right" vertical="top" wrapText="1"/>
    </xf>
    <xf numFmtId="165" fontId="5" fillId="0" borderId="0" xfId="0" applyNumberFormat="1" applyFont="1" applyAlignment="1">
      <alignment horizontal="left" vertical="top" wrapText="1"/>
    </xf>
    <xf numFmtId="43" fontId="7" fillId="0" borderId="0" xfId="0" applyNumberFormat="1" applyFont="1" applyAlignment="1">
      <alignment horizontal="left" vertical="top" wrapText="1"/>
    </xf>
    <xf numFmtId="43" fontId="4" fillId="0" borderId="0" xfId="0" applyNumberFormat="1" applyFont="1" applyAlignment="1">
      <alignment horizontal="left" vertical="top" wrapText="1"/>
    </xf>
    <xf numFmtId="166" fontId="5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167" fontId="5" fillId="0" borderId="0" xfId="0" applyNumberFormat="1" applyFont="1" applyAlignment="1">
      <alignment horizontal="center" vertical="top" wrapText="1"/>
    </xf>
    <xf numFmtId="43" fontId="0" fillId="0" borderId="0" xfId="0" applyNumberFormat="1" applyAlignment="1">
      <alignment horizontal="left" vertical="top"/>
    </xf>
    <xf numFmtId="0" fontId="5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right" vertical="top"/>
    </xf>
    <xf numFmtId="1" fontId="0" fillId="0" borderId="0" xfId="0" applyNumberFormat="1" applyAlignment="1">
      <alignment horizontal="right" vertical="top"/>
    </xf>
    <xf numFmtId="0" fontId="0" fillId="5" borderId="0" xfId="0" applyFill="1" applyAlignment="1">
      <alignment horizontal="left"/>
    </xf>
    <xf numFmtId="164" fontId="0" fillId="5" borderId="0" xfId="1" applyNumberFormat="1" applyFont="1" applyFill="1" applyBorder="1" applyAlignment="1"/>
    <xf numFmtId="0" fontId="0" fillId="8" borderId="0" xfId="0" applyFill="1" applyAlignment="1">
      <alignment horizontal="left" vertical="top"/>
    </xf>
    <xf numFmtId="0" fontId="0" fillId="9" borderId="0" xfId="0" applyFill="1"/>
    <xf numFmtId="0" fontId="0" fillId="9" borderId="0" xfId="0" applyFill="1" applyAlignment="1">
      <alignment horizontal="left"/>
    </xf>
    <xf numFmtId="0" fontId="2" fillId="9" borderId="0" xfId="0" applyFont="1" applyFill="1" applyAlignment="1">
      <alignment horizontal="center"/>
    </xf>
    <xf numFmtId="0" fontId="14" fillId="5" borderId="0" xfId="0" applyFont="1" applyFill="1"/>
    <xf numFmtId="0" fontId="0" fillId="5" borderId="1" xfId="0" applyFill="1" applyBorder="1"/>
    <xf numFmtId="9" fontId="0" fillId="5" borderId="3" xfId="2" applyFont="1" applyFill="1" applyBorder="1" applyProtection="1">
      <protection locked="0"/>
    </xf>
    <xf numFmtId="0" fontId="2" fillId="9" borderId="6" xfId="0" applyFont="1" applyFill="1" applyBorder="1" applyAlignment="1">
      <alignment horizontal="right"/>
    </xf>
    <xf numFmtId="0" fontId="0" fillId="9" borderId="0" xfId="0" applyFill="1" applyProtection="1">
      <protection locked="0"/>
    </xf>
    <xf numFmtId="0" fontId="0" fillId="9" borderId="0" xfId="0" applyFill="1" applyAlignment="1">
      <alignment horizontal="right"/>
    </xf>
    <xf numFmtId="0" fontId="17" fillId="0" borderId="0" xfId="0" applyFont="1" applyAlignment="1">
      <alignment horizontal="left" vertical="top"/>
    </xf>
    <xf numFmtId="168" fontId="18" fillId="0" borderId="0" xfId="0" applyNumberFormat="1" applyFont="1" applyAlignment="1">
      <alignment vertical="center"/>
    </xf>
    <xf numFmtId="0" fontId="20" fillId="5" borderId="0" xfId="0" applyFont="1" applyFill="1"/>
    <xf numFmtId="169" fontId="0" fillId="0" borderId="0" xfId="1" applyNumberFormat="1" applyFont="1" applyAlignment="1">
      <alignment horizontal="left" vertical="top"/>
    </xf>
    <xf numFmtId="164" fontId="0" fillId="0" borderId="0" xfId="1" applyNumberFormat="1" applyFont="1" applyAlignment="1">
      <alignment horizontal="left" vertical="top"/>
    </xf>
    <xf numFmtId="168" fontId="0" fillId="0" borderId="1" xfId="1" applyNumberFormat="1" applyFont="1" applyFill="1" applyBorder="1" applyAlignment="1" applyProtection="1">
      <alignment horizontal="center" vertical="center"/>
      <protection locked="0"/>
    </xf>
    <xf numFmtId="0" fontId="15" fillId="9" borderId="0" xfId="0" applyFont="1" applyFill="1" applyAlignment="1">
      <alignment horizontal="left" vertical="top" wrapText="1" indent="2"/>
    </xf>
    <xf numFmtId="42" fontId="0" fillId="0" borderId="2" xfId="1" applyNumberFormat="1" applyFont="1" applyBorder="1" applyAlignment="1" applyProtection="1">
      <alignment horizontal="center" vertical="center" wrapText="1"/>
    </xf>
    <xf numFmtId="42" fontId="0" fillId="0" borderId="3" xfId="1" applyNumberFormat="1" applyFont="1" applyBorder="1" applyAlignment="1" applyProtection="1">
      <alignment horizontal="center" vertical="center" wrapText="1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 wrapText="1"/>
    </xf>
    <xf numFmtId="0" fontId="2" fillId="7" borderId="3" xfId="0" applyFont="1" applyFill="1" applyBorder="1" applyAlignment="1">
      <alignment horizont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42" fontId="2" fillId="0" borderId="2" xfId="0" applyNumberFormat="1" applyFont="1" applyBorder="1" applyAlignment="1">
      <alignment horizontal="center" wrapText="1"/>
    </xf>
    <xf numFmtId="42" fontId="2" fillId="0" borderId="3" xfId="0" applyNumberFormat="1" applyFont="1" applyBorder="1" applyAlignment="1">
      <alignment horizontal="center" wrapText="1"/>
    </xf>
    <xf numFmtId="42" fontId="0" fillId="0" borderId="2" xfId="0" applyNumberFormat="1" applyBorder="1" applyAlignment="1">
      <alignment horizontal="center" wrapText="1"/>
    </xf>
    <xf numFmtId="42" fontId="0" fillId="0" borderId="4" xfId="0" applyNumberFormat="1" applyBorder="1" applyAlignment="1">
      <alignment horizontal="center" wrapText="1"/>
    </xf>
    <xf numFmtId="42" fontId="0" fillId="0" borderId="3" xfId="0" applyNumberFormat="1" applyBorder="1" applyAlignment="1">
      <alignment horizontal="center" wrapText="1"/>
    </xf>
    <xf numFmtId="42" fontId="2" fillId="0" borderId="4" xfId="0" applyNumberFormat="1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42" fontId="0" fillId="0" borderId="1" xfId="0" applyNumberFormat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2" fontId="0" fillId="0" borderId="2" xfId="0" applyNumberFormat="1" applyBorder="1" applyAlignment="1">
      <alignment horizontal="center" vertical="center" wrapText="1"/>
    </xf>
    <xf numFmtId="42" fontId="0" fillId="0" borderId="3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42" fontId="2" fillId="0" borderId="2" xfId="1" applyNumberFormat="1" applyFont="1" applyBorder="1" applyAlignment="1" applyProtection="1">
      <alignment horizontal="center" wrapText="1"/>
    </xf>
    <xf numFmtId="42" fontId="2" fillId="0" borderId="3" xfId="1" applyNumberFormat="1" applyFont="1" applyBorder="1" applyAlignment="1" applyProtection="1">
      <alignment horizontal="center" wrapText="1"/>
    </xf>
    <xf numFmtId="164" fontId="0" fillId="0" borderId="0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8" fontId="0" fillId="5" borderId="0" xfId="1" applyNumberFormat="1" applyFont="1" applyFill="1" applyBorder="1" applyAlignment="1">
      <alignment horizontal="center"/>
    </xf>
    <xf numFmtId="0" fontId="0" fillId="9" borderId="7" xfId="0" applyFill="1" applyBorder="1" applyAlignment="1">
      <alignment horizontal="right"/>
    </xf>
    <xf numFmtId="0" fontId="0" fillId="9" borderId="6" xfId="0" applyFill="1" applyBorder="1" applyAlignment="1">
      <alignment horizontal="right"/>
    </xf>
  </cellXfs>
  <cellStyles count="4">
    <cellStyle name="Currency" xfId="1" builtinId="4"/>
    <cellStyle name="Normal" xfId="0" builtinId="0"/>
    <cellStyle name="Normal 2" xfId="3" xr:uid="{FB6D905A-0B7C-4704-B644-F8921F94967F}"/>
    <cellStyle name="Percent" xfId="2" builtinId="5"/>
  </cellStyles>
  <dxfs count="1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742CF-8516-40B0-BEA0-FE6BBC2E0F47}">
  <sheetPr codeName="Sheet1">
    <pageSetUpPr fitToPage="1"/>
  </sheetPr>
  <dimension ref="A1:Y51"/>
  <sheetViews>
    <sheetView tabSelected="1" zoomScale="106" zoomScaleNormal="100" workbookViewId="0">
      <selection activeCell="C6" sqref="C6:I6"/>
    </sheetView>
  </sheetViews>
  <sheetFormatPr defaultColWidth="0" defaultRowHeight="14.45" zeroHeight="1"/>
  <cols>
    <col min="1" max="1" width="4.28515625" style="6" customWidth="1"/>
    <col min="2" max="2" width="45.28515625" style="6" customWidth="1"/>
    <col min="3" max="3" width="6.7109375" style="6" customWidth="1"/>
    <col min="4" max="4" width="5.7109375" style="6" customWidth="1"/>
    <col min="5" max="5" width="4" style="6" customWidth="1"/>
    <col min="6" max="6" width="4.7109375" style="6" customWidth="1"/>
    <col min="7" max="7" width="4.28515625" style="6" customWidth="1"/>
    <col min="8" max="8" width="4.28515625" style="6" bestFit="1" customWidth="1"/>
    <col min="9" max="10" width="3.7109375" style="6" bestFit="1" customWidth="1"/>
    <col min="11" max="11" width="4.42578125" style="6" bestFit="1" customWidth="1"/>
    <col min="12" max="12" width="4.28515625" style="6" bestFit="1" customWidth="1"/>
    <col min="13" max="13" width="5.5703125" style="6" customWidth="1"/>
    <col min="14" max="14" width="4" style="6" bestFit="1" customWidth="1"/>
    <col min="15" max="15" width="5" style="6" customWidth="1"/>
    <col min="16" max="16" width="3.7109375" style="6" bestFit="1" customWidth="1"/>
    <col min="17" max="17" width="4.28515625" style="6" bestFit="1" customWidth="1"/>
    <col min="18" max="18" width="4.28515625" style="6" customWidth="1"/>
    <col min="19" max="19" width="4.7109375" style="6" customWidth="1"/>
    <col min="20" max="20" width="7.28515625" style="6" customWidth="1"/>
    <col min="21" max="21" width="7.7109375" style="6" customWidth="1"/>
    <col min="22" max="22" width="4.7109375" style="6" customWidth="1"/>
    <col min="23" max="25" width="0" hidden="1" customWidth="1"/>
    <col min="26" max="16384" width="9.28515625" hidden="1"/>
  </cols>
  <sheetData>
    <row r="1" spans="2:23">
      <c r="B1" s="9"/>
    </row>
    <row r="2" spans="2:23">
      <c r="B2" s="9" t="s">
        <v>0</v>
      </c>
      <c r="C2" s="103" t="s">
        <v>1</v>
      </c>
      <c r="D2" s="103"/>
      <c r="E2" s="103"/>
      <c r="F2" s="103"/>
      <c r="G2" s="103"/>
      <c r="H2" s="103"/>
      <c r="I2" s="103"/>
    </row>
    <row r="3" spans="2:23">
      <c r="B3" s="9" t="s">
        <v>2</v>
      </c>
      <c r="C3" s="103" t="s">
        <v>3</v>
      </c>
      <c r="D3" s="103"/>
      <c r="E3" s="103"/>
      <c r="F3" s="103"/>
      <c r="G3" s="103"/>
      <c r="H3" s="103"/>
      <c r="I3" s="103"/>
    </row>
    <row r="4" spans="2:23">
      <c r="B4" s="6" t="s">
        <v>4</v>
      </c>
      <c r="C4" s="106">
        <f>VLOOKUP(Student!C3,Lists!A7:C32,2,FALSE)</f>
        <v>2379.8431250000003</v>
      </c>
      <c r="D4" s="106"/>
      <c r="E4" s="106"/>
      <c r="F4" s="106"/>
      <c r="G4" s="106"/>
      <c r="H4" s="106"/>
      <c r="I4" s="106"/>
      <c r="Q4" s="49"/>
    </row>
    <row r="5" spans="2:23">
      <c r="B5" s="9" t="s">
        <v>5</v>
      </c>
      <c r="C5" s="65">
        <v>2000</v>
      </c>
      <c r="D5" s="65"/>
      <c r="E5" s="65"/>
      <c r="F5" s="65"/>
      <c r="G5" s="65"/>
      <c r="H5" s="65"/>
      <c r="I5" s="65"/>
      <c r="K5" s="6" t="s">
        <v>6</v>
      </c>
      <c r="N5" s="108">
        <f>C5*12</f>
        <v>24000</v>
      </c>
      <c r="O5" s="108"/>
      <c r="P5" s="108"/>
      <c r="Q5" s="49"/>
    </row>
    <row r="6" spans="2:23">
      <c r="B6" s="9" t="s">
        <v>7</v>
      </c>
      <c r="C6" s="103" t="s">
        <v>8</v>
      </c>
      <c r="D6" s="103"/>
      <c r="E6" s="103"/>
      <c r="F6" s="103"/>
      <c r="G6" s="103"/>
      <c r="H6" s="103"/>
      <c r="I6" s="103"/>
      <c r="K6" s="62" t="s">
        <v>9</v>
      </c>
      <c r="L6" s="54"/>
      <c r="M6" s="54"/>
      <c r="N6" s="54"/>
      <c r="O6" s="54"/>
      <c r="P6" s="54"/>
      <c r="Q6" s="54"/>
      <c r="R6" s="54"/>
      <c r="S6" s="54"/>
    </row>
    <row r="7" spans="2:23">
      <c r="K7" s="62" t="s">
        <v>10</v>
      </c>
    </row>
    <row r="8" spans="2:23">
      <c r="B8" s="53" t="s">
        <v>11</v>
      </c>
      <c r="C8" s="51"/>
      <c r="D8" s="51"/>
      <c r="E8" s="88" t="s">
        <v>12</v>
      </c>
      <c r="F8" s="89"/>
      <c r="G8" s="89"/>
      <c r="H8" s="89"/>
      <c r="I8" s="89"/>
      <c r="J8" s="89"/>
      <c r="K8" s="89"/>
      <c r="L8" s="89"/>
      <c r="M8" s="89"/>
      <c r="N8" s="90"/>
      <c r="O8" s="91" t="s">
        <v>13</v>
      </c>
      <c r="P8" s="92"/>
      <c r="Q8" s="51"/>
      <c r="R8" s="51"/>
      <c r="S8" s="51"/>
      <c r="T8" s="51"/>
      <c r="U8" s="51"/>
      <c r="W8" s="6"/>
    </row>
    <row r="9" spans="2:23">
      <c r="B9" s="51"/>
      <c r="C9" s="51"/>
      <c r="D9" s="51"/>
      <c r="E9" s="88" t="s">
        <v>14</v>
      </c>
      <c r="F9" s="89"/>
      <c r="G9" s="89"/>
      <c r="H9" s="89"/>
      <c r="I9" s="89"/>
      <c r="J9" s="89" t="s">
        <v>15</v>
      </c>
      <c r="K9" s="89"/>
      <c r="L9" s="89"/>
      <c r="M9" s="89"/>
      <c r="N9" s="90"/>
      <c r="O9" s="12"/>
      <c r="P9" s="13"/>
      <c r="Q9" s="51"/>
      <c r="R9" s="51"/>
      <c r="S9" s="51"/>
      <c r="T9" s="51"/>
      <c r="U9" s="51"/>
      <c r="W9" s="6"/>
    </row>
    <row r="10" spans="2:23">
      <c r="B10" s="66" t="s">
        <v>16</v>
      </c>
      <c r="C10" s="51"/>
      <c r="D10" s="55" t="s">
        <v>17</v>
      </c>
      <c r="E10" s="14" t="s">
        <v>18</v>
      </c>
      <c r="F10" s="14" t="s">
        <v>19</v>
      </c>
      <c r="G10" s="14" t="s">
        <v>20</v>
      </c>
      <c r="H10" s="14" t="s">
        <v>21</v>
      </c>
      <c r="I10" s="14" t="s">
        <v>22</v>
      </c>
      <c r="J10" s="14" t="s">
        <v>23</v>
      </c>
      <c r="K10" s="14" t="s">
        <v>24</v>
      </c>
      <c r="L10" s="14" t="s">
        <v>25</v>
      </c>
      <c r="M10" s="14" t="s">
        <v>26</v>
      </c>
      <c r="N10" s="14" t="s">
        <v>27</v>
      </c>
      <c r="O10" s="15" t="s">
        <v>28</v>
      </c>
      <c r="P10" s="15" t="s">
        <v>29</v>
      </c>
      <c r="Q10" s="51"/>
      <c r="R10" s="51"/>
      <c r="S10" s="51"/>
      <c r="T10" s="51"/>
      <c r="U10" s="51"/>
      <c r="W10" s="6"/>
    </row>
    <row r="11" spans="2:23">
      <c r="B11" s="66"/>
      <c r="C11" s="57" t="s">
        <v>30</v>
      </c>
      <c r="D11" s="56">
        <v>1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51"/>
      <c r="R11" s="51" t="s">
        <v>31</v>
      </c>
      <c r="S11" s="51"/>
      <c r="T11" s="51"/>
      <c r="U11" s="51"/>
      <c r="W11" s="6"/>
    </row>
    <row r="12" spans="2:23">
      <c r="B12" s="66"/>
      <c r="C12" s="57" t="s">
        <v>32</v>
      </c>
      <c r="D12" s="56">
        <v>1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51"/>
      <c r="R12" s="51" t="s">
        <v>33</v>
      </c>
      <c r="S12" s="51"/>
      <c r="T12" s="51"/>
      <c r="U12" s="51"/>
      <c r="W12" s="6"/>
    </row>
    <row r="13" spans="2:23">
      <c r="B13" s="66"/>
      <c r="C13" s="57" t="s">
        <v>34</v>
      </c>
      <c r="D13" s="56">
        <v>1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51"/>
      <c r="R13" s="51"/>
      <c r="S13" s="51"/>
      <c r="T13" s="51"/>
      <c r="U13" s="51"/>
      <c r="W13" s="6"/>
    </row>
    <row r="14" spans="2:23">
      <c r="B14" s="66"/>
      <c r="C14" s="57" t="s">
        <v>35</v>
      </c>
      <c r="D14" s="56">
        <v>1</v>
      </c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51"/>
      <c r="R14" s="51"/>
      <c r="S14" s="51"/>
      <c r="T14" s="51"/>
      <c r="U14" s="51"/>
      <c r="W14" s="6"/>
    </row>
    <row r="15" spans="2:23">
      <c r="B15" s="51"/>
      <c r="C15" s="57" t="s">
        <v>36</v>
      </c>
      <c r="D15" s="56">
        <v>1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51"/>
      <c r="R15" s="51"/>
      <c r="S15" s="51"/>
      <c r="T15" s="51"/>
      <c r="U15" s="51"/>
      <c r="W15" s="6"/>
    </row>
    <row r="16" spans="2:23">
      <c r="B16" s="51"/>
      <c r="C16" s="52"/>
      <c r="D16" s="52"/>
      <c r="E16" s="52"/>
      <c r="F16" s="52"/>
      <c r="G16" s="52"/>
      <c r="H16" s="52"/>
      <c r="I16" s="52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</row>
    <row r="17" spans="1:25">
      <c r="B17" s="51" t="s">
        <v>37</v>
      </c>
      <c r="C17" s="59" t="s">
        <v>30</v>
      </c>
      <c r="D17" s="11">
        <v>0</v>
      </c>
      <c r="E17" s="109" t="s">
        <v>32</v>
      </c>
      <c r="F17" s="110"/>
      <c r="G17" s="10"/>
      <c r="H17" s="109" t="s">
        <v>34</v>
      </c>
      <c r="I17" s="110"/>
      <c r="J17" s="10"/>
      <c r="K17" s="109" t="s">
        <v>34</v>
      </c>
      <c r="L17" s="110"/>
      <c r="M17" s="10"/>
      <c r="N17" s="109" t="s">
        <v>36</v>
      </c>
      <c r="O17" s="110"/>
      <c r="P17" s="10"/>
      <c r="Q17" s="51"/>
      <c r="R17" s="51"/>
      <c r="S17" s="51"/>
      <c r="T17" s="51"/>
      <c r="U17" s="51"/>
    </row>
    <row r="18" spans="1:25">
      <c r="B18" s="51" t="s">
        <v>38</v>
      </c>
      <c r="C18" s="59" t="s">
        <v>30</v>
      </c>
      <c r="D18" s="11"/>
      <c r="E18" s="109" t="s">
        <v>32</v>
      </c>
      <c r="F18" s="110"/>
      <c r="G18" s="10"/>
      <c r="H18" s="109" t="s">
        <v>34</v>
      </c>
      <c r="I18" s="110"/>
      <c r="J18" s="10"/>
      <c r="K18" s="109" t="s">
        <v>35</v>
      </c>
      <c r="L18" s="110"/>
      <c r="M18" s="10"/>
      <c r="N18" s="109" t="s">
        <v>36</v>
      </c>
      <c r="O18" s="110"/>
      <c r="P18" s="10"/>
      <c r="Q18" s="51"/>
      <c r="R18" s="51"/>
      <c r="S18" s="51"/>
      <c r="T18" s="51"/>
      <c r="U18" s="51"/>
    </row>
    <row r="19" spans="1:25">
      <c r="B19" s="51" t="s">
        <v>39</v>
      </c>
      <c r="C19" s="59" t="s">
        <v>30</v>
      </c>
      <c r="D19" s="11"/>
      <c r="E19" s="109" t="s">
        <v>32</v>
      </c>
      <c r="F19" s="110"/>
      <c r="G19" s="10"/>
      <c r="H19" s="109" t="s">
        <v>34</v>
      </c>
      <c r="I19" s="110"/>
      <c r="J19" s="10"/>
      <c r="K19" s="109" t="s">
        <v>35</v>
      </c>
      <c r="L19" s="110"/>
      <c r="M19" s="10"/>
      <c r="N19" s="109" t="s">
        <v>36</v>
      </c>
      <c r="O19" s="110"/>
      <c r="P19" s="10"/>
      <c r="Q19" s="51"/>
      <c r="R19" s="51"/>
      <c r="S19" s="51"/>
      <c r="T19" s="51"/>
      <c r="U19" s="51"/>
    </row>
    <row r="20" spans="1:25">
      <c r="B20" s="51"/>
      <c r="C20" s="52"/>
      <c r="D20" s="52"/>
      <c r="E20" s="52"/>
      <c r="F20" s="52"/>
      <c r="G20" s="51"/>
      <c r="H20" s="52"/>
      <c r="I20" s="52"/>
      <c r="J20" s="51"/>
      <c r="K20" s="52"/>
      <c r="L20" s="51"/>
      <c r="M20" s="51"/>
      <c r="N20" s="51"/>
      <c r="O20" s="51"/>
      <c r="P20" s="58"/>
      <c r="Q20" s="51"/>
      <c r="R20" s="51"/>
      <c r="S20" s="51"/>
      <c r="T20" s="51"/>
      <c r="U20" s="51"/>
    </row>
    <row r="21" spans="1:25" ht="43.15">
      <c r="B21" s="7" t="s">
        <v>40</v>
      </c>
      <c r="C21" s="107" t="s">
        <v>41</v>
      </c>
      <c r="D21" s="107"/>
      <c r="E21" s="107"/>
      <c r="F21" s="107"/>
      <c r="G21" s="107"/>
      <c r="H21" s="107"/>
      <c r="I21" s="107"/>
    </row>
    <row r="22" spans="1:25">
      <c r="B22" s="9" t="s">
        <v>42</v>
      </c>
      <c r="C22" s="102"/>
      <c r="D22" s="102"/>
      <c r="E22" s="102"/>
      <c r="F22" s="102"/>
      <c r="G22" s="102"/>
      <c r="H22" s="102"/>
      <c r="I22" s="102"/>
    </row>
    <row r="23" spans="1:25">
      <c r="B23" s="9" t="s">
        <v>43</v>
      </c>
      <c r="C23" s="102"/>
      <c r="D23" s="102"/>
      <c r="E23" s="102"/>
      <c r="F23" s="102"/>
      <c r="G23" s="102"/>
      <c r="H23" s="102"/>
      <c r="I23" s="102"/>
    </row>
    <row r="24" spans="1:25">
      <c r="C24" s="48"/>
      <c r="D24" s="48"/>
      <c r="E24" s="48"/>
      <c r="F24" s="48"/>
      <c r="G24" s="48"/>
      <c r="H24" s="48"/>
      <c r="I24" s="48"/>
    </row>
    <row r="25" spans="1:25">
      <c r="B25" t="s">
        <v>44</v>
      </c>
    </row>
    <row r="26" spans="1:25" s="2" customFormat="1" ht="45" customHeight="1">
      <c r="A26" s="7"/>
      <c r="B26" s="72" t="s">
        <v>30</v>
      </c>
      <c r="C26" s="73"/>
      <c r="D26" s="74" t="s">
        <v>45</v>
      </c>
      <c r="E26" s="75"/>
      <c r="F26" s="74" t="s">
        <v>46</v>
      </c>
      <c r="G26" s="75"/>
      <c r="H26" s="74" t="s">
        <v>47</v>
      </c>
      <c r="I26" s="76"/>
      <c r="J26" s="76"/>
      <c r="K26" s="75"/>
      <c r="L26" s="74" t="s">
        <v>48</v>
      </c>
      <c r="M26" s="75"/>
      <c r="N26" s="74" t="s">
        <v>49</v>
      </c>
      <c r="O26" s="75"/>
      <c r="P26" s="77" t="s">
        <v>50</v>
      </c>
      <c r="Q26" s="78"/>
      <c r="R26" s="77" t="s">
        <v>51</v>
      </c>
      <c r="S26" s="78"/>
      <c r="T26" s="77" t="s">
        <v>52</v>
      </c>
      <c r="U26" s="78"/>
      <c r="V26" s="7"/>
    </row>
    <row r="27" spans="1:25" s="3" customFormat="1" ht="15" customHeight="1">
      <c r="A27" s="8"/>
      <c r="B27" s="85" t="s">
        <v>53</v>
      </c>
      <c r="C27" s="86"/>
      <c r="D27" s="85">
        <f>IF(C6="Manual",Lists!B77,VLOOKUP(C6,Lists!A71:C75,2,FALSE))</f>
        <v>10</v>
      </c>
      <c r="E27" s="86"/>
      <c r="F27" s="81">
        <f>D27*C5</f>
        <v>20000</v>
      </c>
      <c r="G27" s="83"/>
      <c r="H27" s="81" cm="1">
        <f t="array" ref="H27">_xlfn.IFS(C21="Yes",Lists!F2,C21="No, student is in second year",Lists!F3,C21="No, student is in third year or later",Lists!F4)</f>
        <v>1750</v>
      </c>
      <c r="I27" s="82"/>
      <c r="J27" s="82"/>
      <c r="K27" s="83"/>
      <c r="L27" s="81">
        <f>F27+H27</f>
        <v>21750</v>
      </c>
      <c r="M27" s="83"/>
      <c r="N27" s="81">
        <f>L27*0.01</f>
        <v>217.5</v>
      </c>
      <c r="O27" s="83"/>
      <c r="P27" s="100">
        <f>VLOOKUP(Student!C6,Lists!A84:F89,2,FALSE)</f>
        <v>3633.84</v>
      </c>
      <c r="Q27" s="101"/>
      <c r="R27" s="87">
        <f>VLOOKUP(C6,Lists!A91:F96,2,FALSE)+(IF(C23="Y",(VLOOKUP(C6,Lists!A98:F103,2,FALSE)),0))</f>
        <v>718.52</v>
      </c>
      <c r="S27" s="87"/>
      <c r="T27" s="67">
        <f>(P27+R27)</f>
        <v>4352.3600000000006</v>
      </c>
      <c r="U27" s="68"/>
      <c r="V27" s="8"/>
    </row>
    <row r="28" spans="1:25" ht="16.5" customHeight="1">
      <c r="B28" s="85" t="s">
        <v>54</v>
      </c>
      <c r="C28" s="86"/>
      <c r="D28" s="85">
        <f>IF(C6="Manual",Lists!C77,VLOOKUP(C6,Lists!A71:C75,3,FALSE))</f>
        <v>2</v>
      </c>
      <c r="E28" s="86"/>
      <c r="F28" s="81">
        <f>D28*C5</f>
        <v>4000</v>
      </c>
      <c r="G28" s="83"/>
      <c r="H28" s="81">
        <v>0</v>
      </c>
      <c r="I28" s="82"/>
      <c r="J28" s="82"/>
      <c r="K28" s="83"/>
      <c r="L28" s="81">
        <f>F28+H28</f>
        <v>4000</v>
      </c>
      <c r="M28" s="83"/>
      <c r="N28" s="81">
        <f>L28*0.09</f>
        <v>360</v>
      </c>
      <c r="O28" s="83"/>
      <c r="P28" s="87">
        <f>VLOOKUP(D19,Lists!A41:B53,2,FALSE)</f>
        <v>0</v>
      </c>
      <c r="Q28" s="87"/>
      <c r="R28" s="87">
        <f>VLOOKUP(D19,Lists!A41:C53,3,FALSE)</f>
        <v>0</v>
      </c>
      <c r="S28" s="87"/>
      <c r="T28" s="67">
        <f>(P28+R28)</f>
        <v>0</v>
      </c>
      <c r="U28" s="68"/>
    </row>
    <row r="29" spans="1:25" s="1" customFormat="1" ht="15" customHeight="1">
      <c r="A29" s="9"/>
      <c r="B29" s="93" t="s">
        <v>55</v>
      </c>
      <c r="C29" s="94"/>
      <c r="D29" s="95">
        <f>SUM(D27:E28)</f>
        <v>12</v>
      </c>
      <c r="E29" s="96"/>
      <c r="F29" s="79">
        <f>SUM(F27:G28)</f>
        <v>24000</v>
      </c>
      <c r="G29" s="80"/>
      <c r="H29" s="79">
        <f>SUM(H27+H28)</f>
        <v>1750</v>
      </c>
      <c r="I29" s="84"/>
      <c r="J29" s="84"/>
      <c r="K29" s="80"/>
      <c r="L29" s="79">
        <f>L27+L28</f>
        <v>25750</v>
      </c>
      <c r="M29" s="80"/>
      <c r="N29" s="79">
        <f>N27+N28</f>
        <v>577.5</v>
      </c>
      <c r="O29" s="80"/>
      <c r="P29" s="79">
        <f>P27+P28</f>
        <v>3633.84</v>
      </c>
      <c r="Q29" s="80"/>
      <c r="R29" s="79">
        <f>R27+R28</f>
        <v>718.52</v>
      </c>
      <c r="S29" s="80"/>
      <c r="T29" s="104">
        <f>(P29+R29)</f>
        <v>4352.3600000000006</v>
      </c>
      <c r="U29" s="105"/>
      <c r="V29" s="9"/>
    </row>
    <row r="30" spans="1:25" s="1" customFormat="1" ht="15" customHeight="1">
      <c r="A30" s="9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9"/>
      <c r="V30" s="9"/>
    </row>
    <row r="31" spans="1:25" s="1" customFormat="1" ht="44.25" customHeight="1">
      <c r="A31" s="9"/>
      <c r="B31" s="72" t="s">
        <v>56</v>
      </c>
      <c r="C31" s="73"/>
      <c r="D31" s="74" t="s">
        <v>45</v>
      </c>
      <c r="E31" s="75"/>
      <c r="F31" s="74" t="s">
        <v>46</v>
      </c>
      <c r="G31" s="75"/>
      <c r="H31" s="74" t="s">
        <v>47</v>
      </c>
      <c r="I31" s="76"/>
      <c r="J31" s="76"/>
      <c r="K31" s="75"/>
      <c r="L31" s="74" t="s">
        <v>48</v>
      </c>
      <c r="M31" s="75"/>
      <c r="N31" s="74" t="s">
        <v>49</v>
      </c>
      <c r="O31" s="75"/>
      <c r="P31" s="77" t="s">
        <v>50</v>
      </c>
      <c r="Q31" s="78"/>
      <c r="R31" s="77" t="s">
        <v>51</v>
      </c>
      <c r="S31" s="78"/>
      <c r="T31" s="77" t="s">
        <v>52</v>
      </c>
      <c r="U31" s="78"/>
      <c r="V31" s="9"/>
    </row>
    <row r="32" spans="1:25" s="1" customFormat="1">
      <c r="A32" s="9"/>
      <c r="B32" s="85" t="s">
        <v>53</v>
      </c>
      <c r="C32" s="86"/>
      <c r="D32" s="85">
        <f>IF(C6="Manual",Lists!B78,VLOOKUP(C6,Lists!A71:C75,2,FALSE))</f>
        <v>10</v>
      </c>
      <c r="E32" s="86"/>
      <c r="F32" s="81">
        <f>IF(C22="Y",((C5*1.02)*D32),(C5*D32))</f>
        <v>20000</v>
      </c>
      <c r="G32" s="83"/>
      <c r="H32" s="81" cm="1">
        <f t="array" ref="H32">_xlfn.IFS(C21="Yes",Lists!G2,C21="No, student is in second year",Lists!G3,C21="No, student is in third year or later",Lists!G4)</f>
        <v>2250</v>
      </c>
      <c r="I32" s="82"/>
      <c r="J32" s="82"/>
      <c r="K32" s="83"/>
      <c r="L32" s="81">
        <f>F32+H32</f>
        <v>22250</v>
      </c>
      <c r="M32" s="83"/>
      <c r="N32" s="81">
        <f>L32*0.01</f>
        <v>222.5</v>
      </c>
      <c r="O32" s="83"/>
      <c r="P32" s="87">
        <f>VLOOKUP(Student!C6,Lists!A84:F89,3,FALSE)</f>
        <v>3633.84</v>
      </c>
      <c r="Q32" s="87"/>
      <c r="R32" s="87">
        <f>VLOOKUP(C6,Lists!A91:F96,3,FALSE)+(IF(C23="Y",(VLOOKUP(C6,Lists!A98:F103,3,FALSE)),0))</f>
        <v>718.52</v>
      </c>
      <c r="S32" s="87"/>
      <c r="T32" s="67">
        <f>(P32+R32)</f>
        <v>4352.3600000000006</v>
      </c>
      <c r="U32" s="68"/>
      <c r="V32" s="9"/>
      <c r="Y32" s="4"/>
    </row>
    <row r="33" spans="1:25" s="1" customFormat="1">
      <c r="A33" s="9"/>
      <c r="B33" s="85" t="s">
        <v>54</v>
      </c>
      <c r="C33" s="86"/>
      <c r="D33" s="85">
        <f>IF(C6="Manual",Lists!C78,VLOOKUP(C6,Lists!A71:C75,3,FALSE))</f>
        <v>2</v>
      </c>
      <c r="E33" s="86"/>
      <c r="F33" s="81">
        <f>IF(C22="y",(((C5*1.02))*D33),(C5*D33))</f>
        <v>4000</v>
      </c>
      <c r="G33" s="83"/>
      <c r="H33" s="81">
        <v>0</v>
      </c>
      <c r="I33" s="82"/>
      <c r="J33" s="82"/>
      <c r="K33" s="83"/>
      <c r="L33" s="81">
        <f>F33+H33</f>
        <v>4000</v>
      </c>
      <c r="M33" s="83"/>
      <c r="N33" s="81">
        <f>L33*0.09</f>
        <v>360</v>
      </c>
      <c r="O33" s="83"/>
      <c r="P33" s="87">
        <f>VLOOKUP(G19,Lists!A41:B53,2,FALSE)</f>
        <v>0</v>
      </c>
      <c r="Q33" s="87"/>
      <c r="R33" s="87">
        <f>VLOOKUP(G19,Lists!A41:C53,3,FALSE)</f>
        <v>0</v>
      </c>
      <c r="S33" s="87"/>
      <c r="T33" s="67">
        <f>(P33+R33)</f>
        <v>0</v>
      </c>
      <c r="U33" s="68"/>
      <c r="V33" s="9"/>
      <c r="W33"/>
    </row>
    <row r="34" spans="1:25" s="1" customFormat="1">
      <c r="A34" s="9"/>
      <c r="B34" s="93" t="s">
        <v>57</v>
      </c>
      <c r="C34" s="94"/>
      <c r="D34" s="95">
        <f>SUM(D32:E33)</f>
        <v>12</v>
      </c>
      <c r="E34" s="96"/>
      <c r="F34" s="79">
        <f>F32+F33</f>
        <v>24000</v>
      </c>
      <c r="G34" s="80"/>
      <c r="H34" s="79">
        <f>H32+H33</f>
        <v>2250</v>
      </c>
      <c r="I34" s="84"/>
      <c r="J34" s="84"/>
      <c r="K34" s="80"/>
      <c r="L34" s="79">
        <f>L32+L33</f>
        <v>26250</v>
      </c>
      <c r="M34" s="80"/>
      <c r="N34" s="79">
        <f t="shared" ref="N34" si="0">N32+N33</f>
        <v>582.5</v>
      </c>
      <c r="O34" s="80"/>
      <c r="P34" s="79">
        <f t="shared" ref="P34" si="1">P32+P33</f>
        <v>3633.84</v>
      </c>
      <c r="Q34" s="80"/>
      <c r="R34" s="79">
        <f t="shared" ref="R34" si="2">R32+R33</f>
        <v>718.52</v>
      </c>
      <c r="S34" s="80"/>
      <c r="T34" s="104">
        <f>(P34+R34)</f>
        <v>4352.3600000000006</v>
      </c>
      <c r="U34" s="105"/>
      <c r="V34" s="9"/>
    </row>
    <row r="35" spans="1:25" s="1" customFormat="1">
      <c r="A35" s="9"/>
      <c r="B35" s="69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1"/>
      <c r="V35" s="9"/>
    </row>
    <row r="36" spans="1:25" ht="44.25" customHeight="1">
      <c r="B36" s="72" t="s">
        <v>34</v>
      </c>
      <c r="C36" s="73"/>
      <c r="D36" s="74" t="s">
        <v>45</v>
      </c>
      <c r="E36" s="75"/>
      <c r="F36" s="74" t="s">
        <v>46</v>
      </c>
      <c r="G36" s="75"/>
      <c r="H36" s="74" t="s">
        <v>47</v>
      </c>
      <c r="I36" s="76"/>
      <c r="J36" s="76"/>
      <c r="K36" s="75"/>
      <c r="L36" s="74" t="s">
        <v>48</v>
      </c>
      <c r="M36" s="75"/>
      <c r="N36" s="74" t="s">
        <v>49</v>
      </c>
      <c r="O36" s="75"/>
      <c r="P36" s="77" t="s">
        <v>50</v>
      </c>
      <c r="Q36" s="78"/>
      <c r="R36" s="77" t="s">
        <v>51</v>
      </c>
      <c r="S36" s="78"/>
      <c r="T36" s="77" t="s">
        <v>52</v>
      </c>
      <c r="U36" s="78"/>
    </row>
    <row r="37" spans="1:25">
      <c r="B37" s="85" t="s">
        <v>53</v>
      </c>
      <c r="C37" s="86"/>
      <c r="D37" s="85">
        <f>IF(C6="Manual",Lists!B79,VLOOKUP(C6,Lists!A71:C75,2,FALSE))</f>
        <v>10</v>
      </c>
      <c r="E37" s="86"/>
      <c r="F37" s="81">
        <f>IF(C22="y",(((C5*1.02*1.02)*D37)),(C5*D37))</f>
        <v>20000</v>
      </c>
      <c r="G37" s="83"/>
      <c r="H37" s="81" cm="1">
        <f t="array" ref="H37">_xlfn.IFS(C21="Yes",Lists!H2,C21="No, student is in second year",Lists!H3,C21="No, student is in third year or later",Lists!H4)</f>
        <v>2250</v>
      </c>
      <c r="I37" s="82"/>
      <c r="J37" s="82"/>
      <c r="K37" s="83"/>
      <c r="L37" s="81">
        <f>F37+H37</f>
        <v>22250</v>
      </c>
      <c r="M37" s="83"/>
      <c r="N37" s="81">
        <f>L37*0.01</f>
        <v>222.5</v>
      </c>
      <c r="O37" s="83"/>
      <c r="P37" s="87">
        <f>VLOOKUP(Student!C6,Lists!A84:F89,4,FALSE)</f>
        <v>3633.84</v>
      </c>
      <c r="Q37" s="87"/>
      <c r="R37" s="87">
        <f>VLOOKUP(C6,Lists!A91:F96,4,FALSE)+(IF(C23="Y",(VLOOKUP(C6,Lists!A98:F103,4,FALSE)),0))</f>
        <v>718.52</v>
      </c>
      <c r="S37" s="87"/>
      <c r="T37" s="67">
        <f>(P37+R37)</f>
        <v>4352.3600000000006</v>
      </c>
      <c r="U37" s="68"/>
    </row>
    <row r="38" spans="1:25">
      <c r="B38" s="85" t="s">
        <v>54</v>
      </c>
      <c r="C38" s="86"/>
      <c r="D38" s="85">
        <f>IF(C6="Manual",Lists!C79,VLOOKUP(C6,Lists!A71:C75,3,FALSE))</f>
        <v>2</v>
      </c>
      <c r="E38" s="86"/>
      <c r="F38" s="81">
        <f>IF(C22="y",(((C5*1.02*1.02)*D38)),(C5*D38))</f>
        <v>4000</v>
      </c>
      <c r="G38" s="83"/>
      <c r="H38" s="81">
        <v>0</v>
      </c>
      <c r="I38" s="82"/>
      <c r="J38" s="82"/>
      <c r="K38" s="83"/>
      <c r="L38" s="81">
        <f>F38+H38</f>
        <v>4000</v>
      </c>
      <c r="M38" s="83"/>
      <c r="N38" s="81">
        <f>L38*0.09</f>
        <v>360</v>
      </c>
      <c r="O38" s="83"/>
      <c r="P38" s="87">
        <f>VLOOKUP(J19,Lists!A41:B53,2,FALSE)</f>
        <v>0</v>
      </c>
      <c r="Q38" s="87"/>
      <c r="R38" s="87">
        <f>VLOOKUP(J19,Lists!A41:C53,3,FALSE)</f>
        <v>0</v>
      </c>
      <c r="S38" s="87"/>
      <c r="T38" s="67">
        <f>(P38+R38)</f>
        <v>0</v>
      </c>
      <c r="U38" s="68"/>
    </row>
    <row r="39" spans="1:25">
      <c r="B39" s="93" t="s">
        <v>58</v>
      </c>
      <c r="C39" s="94"/>
      <c r="D39" s="95">
        <f>D37+D38</f>
        <v>12</v>
      </c>
      <c r="E39" s="96"/>
      <c r="F39" s="79">
        <f>F37+F38</f>
        <v>24000</v>
      </c>
      <c r="G39" s="80"/>
      <c r="H39" s="79">
        <f>H37+H38</f>
        <v>2250</v>
      </c>
      <c r="I39" s="84"/>
      <c r="J39" s="84"/>
      <c r="K39" s="80"/>
      <c r="L39" s="79">
        <f>L37+L38</f>
        <v>26250</v>
      </c>
      <c r="M39" s="80"/>
      <c r="N39" s="79">
        <f t="shared" ref="N39" si="3">N37+N38</f>
        <v>582.5</v>
      </c>
      <c r="O39" s="80"/>
      <c r="P39" s="79">
        <f t="shared" ref="P39" si="4">P37+P38</f>
        <v>3633.84</v>
      </c>
      <c r="Q39" s="80"/>
      <c r="R39" s="79">
        <f t="shared" ref="R39" si="5">R37+R38</f>
        <v>718.52</v>
      </c>
      <c r="S39" s="80"/>
      <c r="T39" s="104">
        <f>(P39+R39)</f>
        <v>4352.3600000000006</v>
      </c>
      <c r="U39" s="105"/>
    </row>
    <row r="40" spans="1:25">
      <c r="B40" s="69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1"/>
    </row>
    <row r="41" spans="1:25" ht="43.5" customHeight="1">
      <c r="B41" s="72" t="s">
        <v>59</v>
      </c>
      <c r="C41" s="73"/>
      <c r="D41" s="72" t="s">
        <v>45</v>
      </c>
      <c r="E41" s="73"/>
      <c r="F41" s="72" t="s">
        <v>46</v>
      </c>
      <c r="G41" s="73"/>
      <c r="H41" s="74" t="s">
        <v>47</v>
      </c>
      <c r="I41" s="76"/>
      <c r="J41" s="76"/>
      <c r="K41" s="75"/>
      <c r="L41" s="72" t="s">
        <v>48</v>
      </c>
      <c r="M41" s="73"/>
      <c r="N41" s="72" t="s">
        <v>49</v>
      </c>
      <c r="O41" s="73"/>
      <c r="P41" s="77" t="s">
        <v>50</v>
      </c>
      <c r="Q41" s="78"/>
      <c r="R41" s="77" t="s">
        <v>51</v>
      </c>
      <c r="S41" s="78"/>
      <c r="T41" s="77" t="s">
        <v>52</v>
      </c>
      <c r="U41" s="78"/>
    </row>
    <row r="42" spans="1:25">
      <c r="B42" s="85" t="s">
        <v>53</v>
      </c>
      <c r="C42" s="86"/>
      <c r="D42" s="85">
        <f>IF(C6="Manual",Lists!B80,VLOOKUP(C6,Lists!A71:C75,2,FALSE))</f>
        <v>10</v>
      </c>
      <c r="E42" s="86"/>
      <c r="F42" s="81">
        <f>IF(C22="y",(((C5*1.02*1.02*1.02)*D42)),(C5*D42))</f>
        <v>20000</v>
      </c>
      <c r="G42" s="83"/>
      <c r="H42" s="81" cm="1">
        <f t="array" ref="H42">_xlfn.IFS(C21="Yes",Lists!I2,C21="No, student is in second year",Lists!I3,C21="No, student is in third year or later",Lists!I4)</f>
        <v>2250</v>
      </c>
      <c r="I42" s="82"/>
      <c r="J42" s="82"/>
      <c r="K42" s="83"/>
      <c r="L42" s="81">
        <f>F42+H42</f>
        <v>22250</v>
      </c>
      <c r="M42" s="83"/>
      <c r="N42" s="81">
        <f>L42*0.01</f>
        <v>222.5</v>
      </c>
      <c r="O42" s="83"/>
      <c r="P42" s="100">
        <f>VLOOKUP(Student!C6,Lists!A84:F89,5,FALSE)</f>
        <v>3633.84</v>
      </c>
      <c r="Q42" s="101"/>
      <c r="R42" s="100">
        <f>VLOOKUP(C6,Lists!A91:F96,5,FALSE)+(IF(C23="Y",(VLOOKUP(C6,Lists!A98:F103,5,FALSE)),0))</f>
        <v>718.52</v>
      </c>
      <c r="S42" s="101"/>
      <c r="T42" s="67">
        <f>(P42+R42)</f>
        <v>4352.3600000000006</v>
      </c>
      <c r="U42" s="68"/>
    </row>
    <row r="43" spans="1:25">
      <c r="B43" s="85" t="s">
        <v>54</v>
      </c>
      <c r="C43" s="86"/>
      <c r="D43" s="85">
        <f>IF(C6="Manual",Lists!C80,VLOOKUP(C6,Lists!A71:C75,3,FALSE))</f>
        <v>2</v>
      </c>
      <c r="E43" s="86"/>
      <c r="F43" s="81">
        <f>IF(C22="y",(((C5*1.02*1.02*1.02)*D43)),(C5*D43))</f>
        <v>4000</v>
      </c>
      <c r="G43" s="83"/>
      <c r="H43" s="81">
        <v>0</v>
      </c>
      <c r="I43" s="82"/>
      <c r="J43" s="82"/>
      <c r="K43" s="83"/>
      <c r="L43" s="81">
        <f>F43+H43</f>
        <v>4000</v>
      </c>
      <c r="M43" s="83"/>
      <c r="N43" s="81">
        <f>L43*0.09</f>
        <v>360</v>
      </c>
      <c r="O43" s="83"/>
      <c r="P43" s="100">
        <f>VLOOKUP(M19,Lists!A41:B53,2,FALSE)</f>
        <v>0</v>
      </c>
      <c r="Q43" s="101"/>
      <c r="R43" s="100">
        <f>VLOOKUP(M19,Lists!A41:C53,3,FALSE)</f>
        <v>0</v>
      </c>
      <c r="S43" s="101"/>
      <c r="T43" s="67">
        <f>(P43+R43)</f>
        <v>0</v>
      </c>
      <c r="U43" s="68"/>
    </row>
    <row r="44" spans="1:25">
      <c r="B44" s="93" t="s">
        <v>59</v>
      </c>
      <c r="C44" s="94"/>
      <c r="D44" s="95">
        <f>D42+D43</f>
        <v>12</v>
      </c>
      <c r="E44" s="96"/>
      <c r="F44" s="79">
        <f>F42+F43</f>
        <v>24000</v>
      </c>
      <c r="G44" s="80"/>
      <c r="H44" s="79">
        <f>H42+H43</f>
        <v>2250</v>
      </c>
      <c r="I44" s="84"/>
      <c r="J44" s="84"/>
      <c r="K44" s="80"/>
      <c r="L44" s="79">
        <f>L42+L43</f>
        <v>26250</v>
      </c>
      <c r="M44" s="80"/>
      <c r="N44" s="79">
        <f t="shared" ref="N44" si="6">N42+N43</f>
        <v>582.5</v>
      </c>
      <c r="O44" s="80"/>
      <c r="P44" s="79">
        <f t="shared" ref="P44" si="7">P42+P43</f>
        <v>3633.84</v>
      </c>
      <c r="Q44" s="80"/>
      <c r="R44" s="79">
        <f>R42+R43</f>
        <v>718.52</v>
      </c>
      <c r="S44" s="80"/>
      <c r="T44" s="104">
        <f>(P44+R44)</f>
        <v>4352.3600000000006</v>
      </c>
      <c r="U44" s="105"/>
    </row>
    <row r="45" spans="1:25">
      <c r="B45" s="69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1"/>
    </row>
    <row r="46" spans="1:25" ht="44.25" customHeight="1">
      <c r="B46" s="72" t="s">
        <v>60</v>
      </c>
      <c r="C46" s="73"/>
      <c r="D46" s="74" t="s">
        <v>45</v>
      </c>
      <c r="E46" s="75"/>
      <c r="F46" s="74" t="s">
        <v>46</v>
      </c>
      <c r="G46" s="75"/>
      <c r="H46" s="74" t="s">
        <v>47</v>
      </c>
      <c r="I46" s="76"/>
      <c r="J46" s="76"/>
      <c r="K46" s="75"/>
      <c r="L46" s="74" t="s">
        <v>48</v>
      </c>
      <c r="M46" s="75"/>
      <c r="N46" s="74" t="s">
        <v>49</v>
      </c>
      <c r="O46" s="75"/>
      <c r="P46" s="77" t="s">
        <v>50</v>
      </c>
      <c r="Q46" s="78"/>
      <c r="R46" s="77" t="s">
        <v>51</v>
      </c>
      <c r="S46" s="78"/>
      <c r="T46" s="77" t="s">
        <v>52</v>
      </c>
      <c r="U46" s="78"/>
    </row>
    <row r="47" spans="1:25">
      <c r="B47" s="85" t="s">
        <v>53</v>
      </c>
      <c r="C47" s="86"/>
      <c r="D47" s="85">
        <f>IF(C6="Manual",Lists!B81,VLOOKUP(C6,Lists!A71:C75,2,FALSE))</f>
        <v>10</v>
      </c>
      <c r="E47" s="86"/>
      <c r="F47" s="81">
        <f>IF(C22="y",(((C5*1.02*1.02*1.02*1.02)*D47)),(C5*D47))</f>
        <v>20000</v>
      </c>
      <c r="G47" s="83"/>
      <c r="H47" s="81" cm="1">
        <f t="array" ref="H47">_xlfn.IFS(C21="Yes",Lists!J2,C21="No, student is in second year",Lists!J3,C21="No, student is in third year or later",Lists!J4)</f>
        <v>2250</v>
      </c>
      <c r="I47" s="82"/>
      <c r="J47" s="82"/>
      <c r="K47" s="83"/>
      <c r="L47" s="81">
        <f>F47+H47</f>
        <v>22250</v>
      </c>
      <c r="M47" s="83"/>
      <c r="N47" s="81">
        <f>L47*0.01</f>
        <v>222.5</v>
      </c>
      <c r="O47" s="83"/>
      <c r="P47" s="100">
        <f>VLOOKUP(Student!C6,Lists!A84:F89,6,FALSE)</f>
        <v>3633.84</v>
      </c>
      <c r="Q47" s="101"/>
      <c r="R47" s="100">
        <f>VLOOKUP(C6,Lists!A91:F96,6,FALSE)+(IF(C23="Y",(VLOOKUP(C6,Lists!A98:F103,6,FALSE)),0))</f>
        <v>718.52</v>
      </c>
      <c r="S47" s="101"/>
      <c r="T47" s="67">
        <f>(P47+R47)</f>
        <v>4352.3600000000006</v>
      </c>
      <c r="U47" s="68"/>
      <c r="Y47" s="5"/>
    </row>
    <row r="48" spans="1:25">
      <c r="B48" s="85" t="s">
        <v>54</v>
      </c>
      <c r="C48" s="86"/>
      <c r="D48" s="85">
        <f>IF(C6="Manual",Lists!C81,VLOOKUP(C6,Lists!A71:C75,3,FALSE))</f>
        <v>2</v>
      </c>
      <c r="E48" s="86"/>
      <c r="F48" s="81">
        <f>IF(C22="y",(((C5*1.02*1.02*1.02*1.02)*D48)),(C5*D48))</f>
        <v>4000</v>
      </c>
      <c r="G48" s="83"/>
      <c r="H48" s="81">
        <v>0</v>
      </c>
      <c r="I48" s="82"/>
      <c r="J48" s="82"/>
      <c r="K48" s="83"/>
      <c r="L48" s="81">
        <f>F48+H48</f>
        <v>4000</v>
      </c>
      <c r="M48" s="83"/>
      <c r="N48" s="81">
        <f>L48*0.09</f>
        <v>360</v>
      </c>
      <c r="O48" s="83"/>
      <c r="P48" s="100">
        <f>VLOOKUP(P19,Lists!A41:B53,2,FALSE)</f>
        <v>0</v>
      </c>
      <c r="Q48" s="101"/>
      <c r="R48" s="100">
        <f>VLOOKUP(P19,Lists!A41:C53,3,FALSE)</f>
        <v>0</v>
      </c>
      <c r="S48" s="101"/>
      <c r="T48" s="67">
        <f>(P48+R48)</f>
        <v>0</v>
      </c>
      <c r="U48" s="68"/>
    </row>
    <row r="49" spans="2:21" ht="15" customHeight="1">
      <c r="B49" s="93" t="s">
        <v>60</v>
      </c>
      <c r="C49" s="94"/>
      <c r="D49" s="95">
        <f>D47+D48</f>
        <v>12</v>
      </c>
      <c r="E49" s="96"/>
      <c r="F49" s="79">
        <f>F47+F48</f>
        <v>24000</v>
      </c>
      <c r="G49" s="80"/>
      <c r="H49" s="79">
        <f>H47+H48</f>
        <v>2250</v>
      </c>
      <c r="I49" s="84"/>
      <c r="J49" s="84"/>
      <c r="K49" s="80"/>
      <c r="L49" s="79">
        <f>L47+L48</f>
        <v>26250</v>
      </c>
      <c r="M49" s="80"/>
      <c r="N49" s="79">
        <f t="shared" ref="N49" si="8">N47+N48</f>
        <v>582.5</v>
      </c>
      <c r="O49" s="80"/>
      <c r="P49" s="79">
        <f>P47+P48</f>
        <v>3633.84</v>
      </c>
      <c r="Q49" s="80"/>
      <c r="R49" s="79">
        <f t="shared" ref="R49" si="9">R47+R48</f>
        <v>718.52</v>
      </c>
      <c r="S49" s="80"/>
      <c r="T49" s="104">
        <f>(P49+R49)</f>
        <v>4352.3600000000006</v>
      </c>
      <c r="U49" s="105"/>
    </row>
    <row r="50" spans="2:21"/>
    <row r="51" spans="2:21"/>
  </sheetData>
  <sheetProtection formatCells="0" formatColumns="0" formatRows="0" insertColumns="0" insertRows="0" insertHyperlinks="0" deleteColumns="0" deleteRows="0" sort="0" autoFilter="0" pivotTables="0"/>
  <mergeCells count="210">
    <mergeCell ref="N17:O17"/>
    <mergeCell ref="N18:O18"/>
    <mergeCell ref="N19:O19"/>
    <mergeCell ref="E17:F17"/>
    <mergeCell ref="E18:F18"/>
    <mergeCell ref="E19:F19"/>
    <mergeCell ref="H17:I17"/>
    <mergeCell ref="H18:I18"/>
    <mergeCell ref="H19:I19"/>
    <mergeCell ref="K17:L17"/>
    <mergeCell ref="K18:L18"/>
    <mergeCell ref="K19:L19"/>
    <mergeCell ref="N5:P5"/>
    <mergeCell ref="B43:C43"/>
    <mergeCell ref="D43:E43"/>
    <mergeCell ref="F43:G43"/>
    <mergeCell ref="H43:K43"/>
    <mergeCell ref="L43:M43"/>
    <mergeCell ref="B42:C42"/>
    <mergeCell ref="D42:E42"/>
    <mergeCell ref="J9:N9"/>
    <mergeCell ref="P33:Q33"/>
    <mergeCell ref="B39:C39"/>
    <mergeCell ref="D39:E39"/>
    <mergeCell ref="F39:G39"/>
    <mergeCell ref="H39:K39"/>
    <mergeCell ref="L39:M39"/>
    <mergeCell ref="N37:O37"/>
    <mergeCell ref="B38:C38"/>
    <mergeCell ref="D38:E38"/>
    <mergeCell ref="F38:G38"/>
    <mergeCell ref="H38:K38"/>
    <mergeCell ref="L38:M38"/>
    <mergeCell ref="N38:O38"/>
    <mergeCell ref="B37:C37"/>
    <mergeCell ref="D37:E37"/>
    <mergeCell ref="E9:I9"/>
    <mergeCell ref="H49:K49"/>
    <mergeCell ref="F37:G37"/>
    <mergeCell ref="R33:S33"/>
    <mergeCell ref="P37:Q37"/>
    <mergeCell ref="R37:S37"/>
    <mergeCell ref="P38:Q38"/>
    <mergeCell ref="R38:S38"/>
    <mergeCell ref="P42:Q42"/>
    <mergeCell ref="R42:S42"/>
    <mergeCell ref="R39:S39"/>
    <mergeCell ref="P39:Q39"/>
    <mergeCell ref="H37:K37"/>
    <mergeCell ref="L37:M37"/>
    <mergeCell ref="N27:O27"/>
    <mergeCell ref="N28:O28"/>
    <mergeCell ref="N29:O29"/>
    <mergeCell ref="R26:S26"/>
    <mergeCell ref="R32:S32"/>
    <mergeCell ref="R31:S31"/>
    <mergeCell ref="N31:O31"/>
    <mergeCell ref="R46:S46"/>
    <mergeCell ref="N46:O46"/>
    <mergeCell ref="C22:I22"/>
    <mergeCell ref="C2:I2"/>
    <mergeCell ref="C3:I3"/>
    <mergeCell ref="T49:U49"/>
    <mergeCell ref="T26:U26"/>
    <mergeCell ref="N26:O26"/>
    <mergeCell ref="T29:U29"/>
    <mergeCell ref="T31:U31"/>
    <mergeCell ref="T34:U34"/>
    <mergeCell ref="T36:U36"/>
    <mergeCell ref="T39:U39"/>
    <mergeCell ref="T41:U41"/>
    <mergeCell ref="T44:U44"/>
    <mergeCell ref="T46:U46"/>
    <mergeCell ref="R49:S49"/>
    <mergeCell ref="N49:O49"/>
    <mergeCell ref="B49:C49"/>
    <mergeCell ref="D49:E49"/>
    <mergeCell ref="F49:G49"/>
    <mergeCell ref="C4:I4"/>
    <mergeCell ref="R47:S47"/>
    <mergeCell ref="P48:Q48"/>
    <mergeCell ref="C6:I6"/>
    <mergeCell ref="C21:I21"/>
    <mergeCell ref="R48:S48"/>
    <mergeCell ref="C23:I23"/>
    <mergeCell ref="L49:M49"/>
    <mergeCell ref="P49:Q49"/>
    <mergeCell ref="N47:O47"/>
    <mergeCell ref="B48:C48"/>
    <mergeCell ref="D48:E48"/>
    <mergeCell ref="F48:G48"/>
    <mergeCell ref="H48:K48"/>
    <mergeCell ref="L48:M48"/>
    <mergeCell ref="N48:O48"/>
    <mergeCell ref="B47:C47"/>
    <mergeCell ref="D47:E47"/>
    <mergeCell ref="F47:G47"/>
    <mergeCell ref="H47:K47"/>
    <mergeCell ref="L47:M47"/>
    <mergeCell ref="P47:Q47"/>
    <mergeCell ref="P46:Q46"/>
    <mergeCell ref="P27:Q27"/>
    <mergeCell ref="P28:Q28"/>
    <mergeCell ref="B45:U45"/>
    <mergeCell ref="F42:G42"/>
    <mergeCell ref="H42:K42"/>
    <mergeCell ref="L42:M42"/>
    <mergeCell ref="D46:E46"/>
    <mergeCell ref="F46:G46"/>
    <mergeCell ref="H46:K46"/>
    <mergeCell ref="L46:M46"/>
    <mergeCell ref="H41:K41"/>
    <mergeCell ref="L41:M41"/>
    <mergeCell ref="P41:Q41"/>
    <mergeCell ref="R41:S41"/>
    <mergeCell ref="B44:C44"/>
    <mergeCell ref="D44:E44"/>
    <mergeCell ref="F44:G44"/>
    <mergeCell ref="H44:K44"/>
    <mergeCell ref="L44:M44"/>
    <mergeCell ref="P44:Q44"/>
    <mergeCell ref="R44:S44"/>
    <mergeCell ref="N44:O44"/>
    <mergeCell ref="N42:O42"/>
    <mergeCell ref="N43:O43"/>
    <mergeCell ref="P43:Q43"/>
    <mergeCell ref="N41:O41"/>
    <mergeCell ref="R43:S43"/>
    <mergeCell ref="B46:C46"/>
    <mergeCell ref="E8:N8"/>
    <mergeCell ref="O8:P8"/>
    <mergeCell ref="B26:C26"/>
    <mergeCell ref="D26:E26"/>
    <mergeCell ref="B27:C27"/>
    <mergeCell ref="B28:C28"/>
    <mergeCell ref="L28:M28"/>
    <mergeCell ref="L29:M29"/>
    <mergeCell ref="B34:C34"/>
    <mergeCell ref="D34:E34"/>
    <mergeCell ref="F34:G34"/>
    <mergeCell ref="H34:K34"/>
    <mergeCell ref="L34:M34"/>
    <mergeCell ref="B30:U30"/>
    <mergeCell ref="B29:C29"/>
    <mergeCell ref="D27:E27"/>
    <mergeCell ref="D28:E28"/>
    <mergeCell ref="D29:E29"/>
    <mergeCell ref="F26:G26"/>
    <mergeCell ref="F27:G27"/>
    <mergeCell ref="F28:G28"/>
    <mergeCell ref="R29:S29"/>
    <mergeCell ref="H26:K26"/>
    <mergeCell ref="R28:S28"/>
    <mergeCell ref="R27:S27"/>
    <mergeCell ref="D41:E41"/>
    <mergeCell ref="F41:G41"/>
    <mergeCell ref="B31:C31"/>
    <mergeCell ref="D31:E31"/>
    <mergeCell ref="F31:G31"/>
    <mergeCell ref="H31:K31"/>
    <mergeCell ref="L31:M31"/>
    <mergeCell ref="P31:Q31"/>
    <mergeCell ref="N33:O33"/>
    <mergeCell ref="P34:Q34"/>
    <mergeCell ref="R34:S34"/>
    <mergeCell ref="N34:O34"/>
    <mergeCell ref="B33:C33"/>
    <mergeCell ref="D33:E33"/>
    <mergeCell ref="F33:G33"/>
    <mergeCell ref="H33:K33"/>
    <mergeCell ref="L33:M33"/>
    <mergeCell ref="P26:Q26"/>
    <mergeCell ref="P29:Q29"/>
    <mergeCell ref="H27:K27"/>
    <mergeCell ref="H28:K28"/>
    <mergeCell ref="H29:K29"/>
    <mergeCell ref="L26:M26"/>
    <mergeCell ref="L27:M27"/>
    <mergeCell ref="F29:G29"/>
    <mergeCell ref="B32:C32"/>
    <mergeCell ref="D32:E32"/>
    <mergeCell ref="F32:G32"/>
    <mergeCell ref="H32:K32"/>
    <mergeCell ref="L32:M32"/>
    <mergeCell ref="N32:O32"/>
    <mergeCell ref="P32:Q32"/>
    <mergeCell ref="C5:I5"/>
    <mergeCell ref="B10:B14"/>
    <mergeCell ref="T48:U48"/>
    <mergeCell ref="T27:U27"/>
    <mergeCell ref="T28:U28"/>
    <mergeCell ref="T32:U32"/>
    <mergeCell ref="T33:U33"/>
    <mergeCell ref="T37:U37"/>
    <mergeCell ref="T38:U38"/>
    <mergeCell ref="T42:U42"/>
    <mergeCell ref="T43:U43"/>
    <mergeCell ref="T47:U47"/>
    <mergeCell ref="B35:U35"/>
    <mergeCell ref="B36:C36"/>
    <mergeCell ref="D36:E36"/>
    <mergeCell ref="F36:G36"/>
    <mergeCell ref="H36:K36"/>
    <mergeCell ref="L36:M36"/>
    <mergeCell ref="P36:Q36"/>
    <mergeCell ref="R36:S36"/>
    <mergeCell ref="N36:O36"/>
    <mergeCell ref="N39:O39"/>
    <mergeCell ref="B40:U40"/>
    <mergeCell ref="B41:C41"/>
  </mergeCells>
  <phoneticPr fontId="3" type="noConversion"/>
  <conditionalFormatting sqref="C2:C6">
    <cfRule type="containsBlanks" dxfId="12" priority="1">
      <formula>LEN(TRIM(C2))=0</formula>
    </cfRule>
  </conditionalFormatting>
  <conditionalFormatting sqref="C21:C23">
    <cfRule type="containsBlanks" dxfId="11" priority="32">
      <formula>LEN(TRIM(C21))=0</formula>
    </cfRule>
  </conditionalFormatting>
  <conditionalFormatting sqref="C5:I5">
    <cfRule type="cellIs" dxfId="10" priority="14" operator="lessThan">
      <formula>$C$4</formula>
    </cfRule>
  </conditionalFormatting>
  <conditionalFormatting sqref="D11:D15">
    <cfRule type="containsBlanks" dxfId="9" priority="5">
      <formula>LEN(TRIM(D11))=0</formula>
    </cfRule>
  </conditionalFormatting>
  <conditionalFormatting sqref="D17:D19">
    <cfRule type="expression" dxfId="8" priority="13">
      <formula>$C$6="Manual"</formula>
    </cfRule>
  </conditionalFormatting>
  <conditionalFormatting sqref="D11:P15">
    <cfRule type="expression" dxfId="7" priority="3">
      <formula>$C$6="manual"</formula>
    </cfRule>
  </conditionalFormatting>
  <conditionalFormatting sqref="G17:G19">
    <cfRule type="expression" dxfId="6" priority="12">
      <formula>$C$6="Manual"</formula>
    </cfRule>
  </conditionalFormatting>
  <conditionalFormatting sqref="J17:J18">
    <cfRule type="expression" dxfId="5" priority="17">
      <formula>$C$6="Manual"</formula>
    </cfRule>
  </conditionalFormatting>
  <conditionalFormatting sqref="J19">
    <cfRule type="expression" dxfId="4" priority="11">
      <formula>$C$6="manual"</formula>
    </cfRule>
  </conditionalFormatting>
  <conditionalFormatting sqref="M17:M18">
    <cfRule type="expression" dxfId="3" priority="16">
      <formula>$C$6="Manual"</formula>
    </cfRule>
  </conditionalFormatting>
  <conditionalFormatting sqref="M19">
    <cfRule type="expression" dxfId="2" priority="10">
      <formula>$C$6="manual"</formula>
    </cfRule>
  </conditionalFormatting>
  <conditionalFormatting sqref="P17:P18">
    <cfRule type="expression" dxfId="1" priority="15">
      <formula>$C$6="Manual"</formula>
    </cfRule>
  </conditionalFormatting>
  <conditionalFormatting sqref="P19">
    <cfRule type="expression" dxfId="0" priority="9">
      <formula>$C$6="manual"</formula>
    </cfRule>
  </conditionalFormatting>
  <dataValidations count="1">
    <dataValidation type="list" allowBlank="1" showInputMessage="1" showErrorMessage="1" sqref="C24 E8:J10 C16:I16" xr:uid="{41BE1DCB-569D-4C0E-94D7-816A122CBDFB}">
      <formula1>#REF!</formula1>
    </dataValidation>
  </dataValidations>
  <pageMargins left="0.7" right="0.7" top="0.75" bottom="0.75" header="0.3" footer="0.3"/>
  <pageSetup scale="62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6378A35-F3F3-4897-AE8B-279B83B81FA0}">
          <x14:formula1>
            <xm:f>Lists!$A$71:$A$76</xm:f>
          </x14:formula1>
          <xm:sqref>C6:I6</xm:sqref>
        </x14:dataValidation>
        <x14:dataValidation type="list" allowBlank="1" showInputMessage="1" showErrorMessage="1" xr:uid="{E043D5DE-EA94-4A54-973B-D8F64A48F466}">
          <x14:formula1>
            <xm:f>Lists!$A$41:$A$53</xm:f>
          </x14:formula1>
          <xm:sqref>M17:M19 J17:J19 G17:G19 D17:D19 P17:P19</xm:sqref>
        </x14:dataValidation>
        <x14:dataValidation type="list" allowBlank="1" showInputMessage="1" showErrorMessage="1" xr:uid="{728B8D49-CAA2-4CCF-B048-9DBC529A56EA}">
          <x14:formula1>
            <xm:f>Lists!$B$2:$B$4</xm:f>
          </x14:formula1>
          <xm:sqref>C21</xm:sqref>
        </x14:dataValidation>
        <x14:dataValidation type="list" allowBlank="1" showInputMessage="1" showErrorMessage="1" xr:uid="{02836318-1EA9-40BA-B82C-FF730C5CB1E0}">
          <x14:formula1>
            <xm:f>Lists!$A$2:$A$3</xm:f>
          </x14:formula1>
          <xm:sqref>C22:C23 E11:P15</xm:sqref>
        </x14:dataValidation>
        <x14:dataValidation type="list" allowBlank="1" showInputMessage="1" showErrorMessage="1" xr:uid="{E4850F53-71D5-4FF7-BED8-CCCB04F381BD}">
          <x14:formula1>
            <xm:f>Lists!$A$7:$A$38</xm:f>
          </x14:formula1>
          <xm:sqref>C3:I3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2BFF5-DF05-4712-AC9B-6C0C88598DAB}">
  <sheetPr codeName="Sheet2"/>
  <dimension ref="A1:N104"/>
  <sheetViews>
    <sheetView zoomScaleNormal="100" workbookViewId="0">
      <selection activeCell="B99" sqref="B99"/>
    </sheetView>
  </sheetViews>
  <sheetFormatPr defaultColWidth="9.28515625" defaultRowHeight="14.45"/>
  <cols>
    <col min="1" max="1" width="32" style="16" bestFit="1" customWidth="1"/>
    <col min="2" max="2" width="12.7109375" style="16" customWidth="1"/>
    <col min="3" max="3" width="21.5703125" style="16" customWidth="1"/>
    <col min="4" max="4" width="18" style="16" customWidth="1"/>
    <col min="5" max="5" width="18.7109375" style="16" customWidth="1"/>
    <col min="6" max="6" width="14" style="16" bestFit="1" customWidth="1"/>
    <col min="7" max="7" width="12.5703125" style="16" customWidth="1"/>
    <col min="8" max="8" width="11.7109375" style="16" customWidth="1"/>
    <col min="9" max="9" width="11.42578125" style="16" customWidth="1"/>
    <col min="10" max="10" width="11.28515625" style="16" customWidth="1"/>
    <col min="11" max="11" width="11" style="16" customWidth="1"/>
    <col min="12" max="12" width="13.140625" style="16" customWidth="1"/>
    <col min="13" max="13" width="12.5703125" style="16" customWidth="1"/>
    <col min="14" max="16384" width="9.28515625" style="16"/>
  </cols>
  <sheetData>
    <row r="1" spans="1:10">
      <c r="D1" s="16">
        <v>2023</v>
      </c>
      <c r="E1" s="16">
        <v>2024</v>
      </c>
      <c r="F1" s="16" t="s">
        <v>30</v>
      </c>
      <c r="G1" s="16" t="s">
        <v>32</v>
      </c>
      <c r="H1" s="16" t="s">
        <v>34</v>
      </c>
      <c r="I1" s="16" t="s">
        <v>35</v>
      </c>
      <c r="J1" s="16" t="s">
        <v>36</v>
      </c>
    </row>
    <row r="2" spans="1:10">
      <c r="A2" s="16" t="s">
        <v>61</v>
      </c>
      <c r="B2" s="16" t="s">
        <v>62</v>
      </c>
      <c r="D2" s="17">
        <v>175</v>
      </c>
      <c r="E2" s="17">
        <v>175</v>
      </c>
      <c r="F2" s="50">
        <f>D2*Student!D27</f>
        <v>1750</v>
      </c>
      <c r="G2" s="16">
        <f>E2*Student!D32</f>
        <v>1750</v>
      </c>
      <c r="H2" s="16">
        <f>E3*Student!D37</f>
        <v>2250</v>
      </c>
      <c r="I2" s="16">
        <f>E3*Student!D42</f>
        <v>2250</v>
      </c>
      <c r="J2" s="16">
        <f>E3*Student!D47</f>
        <v>2250</v>
      </c>
    </row>
    <row r="3" spans="1:10">
      <c r="A3" s="16" t="s">
        <v>63</v>
      </c>
      <c r="B3" s="16" t="s">
        <v>41</v>
      </c>
      <c r="D3" s="17">
        <v>225</v>
      </c>
      <c r="E3" s="17">
        <v>225</v>
      </c>
      <c r="F3" s="50">
        <f>D2*Student!D27</f>
        <v>1750</v>
      </c>
      <c r="G3" s="16">
        <f>E3*Student!D32</f>
        <v>2250</v>
      </c>
      <c r="H3" s="16">
        <f>E3*Student!D37</f>
        <v>2250</v>
      </c>
      <c r="I3" s="16">
        <f>E3*Student!D42</f>
        <v>2250</v>
      </c>
      <c r="J3" s="16">
        <f>E3*Student!D47</f>
        <v>2250</v>
      </c>
    </row>
    <row r="4" spans="1:10">
      <c r="B4" s="16" t="s">
        <v>64</v>
      </c>
      <c r="D4" s="17">
        <v>225</v>
      </c>
      <c r="E4" s="17">
        <v>225</v>
      </c>
      <c r="F4" s="50">
        <f>D4*Student!D27</f>
        <v>2250</v>
      </c>
      <c r="G4" s="16">
        <f>E4*Student!D32</f>
        <v>2250</v>
      </c>
      <c r="H4" s="16">
        <f>E4*Student!D37</f>
        <v>2250</v>
      </c>
      <c r="I4" s="16">
        <f>E4*Student!D42</f>
        <v>2250</v>
      </c>
      <c r="J4" s="16">
        <f>E4*Student!D47</f>
        <v>2250</v>
      </c>
    </row>
    <row r="5" spans="1:10">
      <c r="A5" s="18"/>
      <c r="B5" s="18"/>
      <c r="C5" s="18"/>
    </row>
    <row r="6" spans="1:10" ht="41.45">
      <c r="A6" s="19" t="s">
        <v>65</v>
      </c>
      <c r="B6" s="19" t="s">
        <v>66</v>
      </c>
      <c r="C6" s="18" t="s">
        <v>67</v>
      </c>
      <c r="D6" s="16" t="s">
        <v>68</v>
      </c>
      <c r="E6" s="16" t="s">
        <v>69</v>
      </c>
    </row>
    <row r="7" spans="1:10">
      <c r="A7" s="60" t="s">
        <v>70</v>
      </c>
      <c r="B7" s="20">
        <f>C7/10</f>
        <v>2231.5700000000002</v>
      </c>
      <c r="C7" s="61">
        <f>E7*1.1</f>
        <v>22315.7</v>
      </c>
      <c r="D7" s="16" t="s">
        <v>71</v>
      </c>
      <c r="E7" s="63">
        <v>20287</v>
      </c>
    </row>
    <row r="8" spans="1:10">
      <c r="A8" s="60" t="s">
        <v>72</v>
      </c>
      <c r="B8" s="20">
        <f t="shared" ref="B8:B38" si="0">C8/10</f>
        <v>2231.5700000000002</v>
      </c>
      <c r="C8" s="61">
        <f t="shared" ref="C8:C38" si="1">E8*1.1</f>
        <v>22315.7</v>
      </c>
      <c r="D8" s="16" t="s">
        <v>71</v>
      </c>
      <c r="E8" s="63">
        <v>20287</v>
      </c>
    </row>
    <row r="9" spans="1:10">
      <c r="A9" s="60" t="s">
        <v>73</v>
      </c>
      <c r="B9" s="20">
        <f t="shared" si="0"/>
        <v>1271.6000000000001</v>
      </c>
      <c r="C9" s="61">
        <f t="shared" si="1"/>
        <v>12716.000000000002</v>
      </c>
      <c r="D9" s="16" t="s">
        <v>74</v>
      </c>
      <c r="E9" s="63">
        <v>11560</v>
      </c>
    </row>
    <row r="10" spans="1:10">
      <c r="A10" s="60" t="s">
        <v>75</v>
      </c>
      <c r="B10" s="20">
        <f t="shared" si="0"/>
        <v>1699.1399999999699</v>
      </c>
      <c r="C10" s="61">
        <f t="shared" si="1"/>
        <v>16991.3999999997</v>
      </c>
      <c r="D10" s="16" t="s">
        <v>74</v>
      </c>
      <c r="E10" s="63">
        <v>15446.727272726999</v>
      </c>
    </row>
    <row r="11" spans="1:10">
      <c r="A11" s="60" t="s">
        <v>76</v>
      </c>
      <c r="B11" s="20">
        <f t="shared" si="0"/>
        <v>2231.5700000000002</v>
      </c>
      <c r="C11" s="61">
        <f t="shared" si="1"/>
        <v>22315.7</v>
      </c>
      <c r="D11" s="16" t="s">
        <v>71</v>
      </c>
      <c r="E11" s="63">
        <v>20287</v>
      </c>
    </row>
    <row r="12" spans="1:10">
      <c r="A12" s="60" t="s">
        <v>77</v>
      </c>
      <c r="B12" s="20">
        <f t="shared" si="0"/>
        <v>2470.6977777777902</v>
      </c>
      <c r="C12" s="61">
        <f t="shared" si="1"/>
        <v>24706.977777777902</v>
      </c>
      <c r="D12" s="16" t="s">
        <v>74</v>
      </c>
      <c r="E12" s="63">
        <v>22460.888888889</v>
      </c>
    </row>
    <row r="13" spans="1:10">
      <c r="A13" s="60" t="s">
        <v>78</v>
      </c>
      <c r="B13" s="20">
        <f t="shared" si="0"/>
        <v>2395.4853488372401</v>
      </c>
      <c r="C13" s="61">
        <f t="shared" si="1"/>
        <v>23954.853488372402</v>
      </c>
      <c r="D13" s="16" t="s">
        <v>74</v>
      </c>
      <c r="E13" s="63">
        <v>21777.139534884001</v>
      </c>
    </row>
    <row r="14" spans="1:10">
      <c r="A14" s="60" t="s">
        <v>79</v>
      </c>
      <c r="B14" s="20">
        <f t="shared" si="0"/>
        <v>2193.2138461538802</v>
      </c>
      <c r="C14" s="61">
        <f t="shared" si="1"/>
        <v>21932.138461538801</v>
      </c>
      <c r="D14" s="16" t="s">
        <v>74</v>
      </c>
      <c r="E14" s="63">
        <v>19938.307692308001</v>
      </c>
    </row>
    <row r="15" spans="1:10">
      <c r="A15" s="60" t="s">
        <v>80</v>
      </c>
      <c r="B15" s="20">
        <f t="shared" si="0"/>
        <v>2357.19</v>
      </c>
      <c r="C15" s="61">
        <f t="shared" si="1"/>
        <v>23571.9</v>
      </c>
      <c r="D15" s="16" t="s">
        <v>74</v>
      </c>
      <c r="E15" s="63">
        <v>21429</v>
      </c>
    </row>
    <row r="16" spans="1:10">
      <c r="A16" s="60" t="s">
        <v>81</v>
      </c>
      <c r="B16" s="20">
        <f t="shared" si="0"/>
        <v>2214.85</v>
      </c>
      <c r="C16" s="61">
        <f t="shared" si="1"/>
        <v>22148.5</v>
      </c>
      <c r="D16" s="16" t="s">
        <v>74</v>
      </c>
      <c r="E16" s="63">
        <v>20135</v>
      </c>
    </row>
    <row r="17" spans="1:5">
      <c r="A17" s="60" t="s">
        <v>82</v>
      </c>
      <c r="B17" s="20">
        <f t="shared" si="0"/>
        <v>2018.9522222222101</v>
      </c>
      <c r="C17" s="61">
        <f t="shared" si="1"/>
        <v>20189.522222222102</v>
      </c>
      <c r="D17" s="16" t="s">
        <v>74</v>
      </c>
      <c r="E17" s="63">
        <v>18354.111111111</v>
      </c>
    </row>
    <row r="18" spans="1:5">
      <c r="A18" s="60" t="s">
        <v>83</v>
      </c>
      <c r="B18" s="20">
        <f t="shared" si="0"/>
        <v>2109.8000000000002</v>
      </c>
      <c r="C18" s="61">
        <f t="shared" si="1"/>
        <v>21098</v>
      </c>
      <c r="D18" s="16" t="s">
        <v>74</v>
      </c>
      <c r="E18" s="63">
        <v>19180</v>
      </c>
    </row>
    <row r="19" spans="1:5">
      <c r="A19" s="60" t="s">
        <v>3</v>
      </c>
      <c r="B19" s="20">
        <f t="shared" si="0"/>
        <v>2379.8431250000003</v>
      </c>
      <c r="C19" s="61">
        <f t="shared" si="1"/>
        <v>23798.431250000001</v>
      </c>
      <c r="D19" s="16" t="s">
        <v>74</v>
      </c>
      <c r="E19" s="63">
        <v>21634.9375</v>
      </c>
    </row>
    <row r="20" spans="1:5">
      <c r="A20" s="60" t="s">
        <v>84</v>
      </c>
      <c r="B20" s="20">
        <f t="shared" si="0"/>
        <v>2152.6999999999998</v>
      </c>
      <c r="C20" s="61">
        <f t="shared" si="1"/>
        <v>21527</v>
      </c>
      <c r="D20" s="16" t="s">
        <v>74</v>
      </c>
      <c r="E20" s="63">
        <v>19570</v>
      </c>
    </row>
    <row r="21" spans="1:5">
      <c r="A21" s="60" t="s">
        <v>85</v>
      </c>
      <c r="B21" s="20">
        <f t="shared" si="0"/>
        <v>2495.46</v>
      </c>
      <c r="C21" s="61">
        <f t="shared" si="1"/>
        <v>24954.600000000002</v>
      </c>
      <c r="D21" s="16" t="s">
        <v>74</v>
      </c>
      <c r="E21" s="63">
        <v>22686</v>
      </c>
    </row>
    <row r="22" spans="1:5">
      <c r="A22" s="60" t="s">
        <v>86</v>
      </c>
      <c r="B22" s="20">
        <f t="shared" si="0"/>
        <v>2337.4300000000403</v>
      </c>
      <c r="C22" s="61">
        <f t="shared" si="1"/>
        <v>23374.300000000403</v>
      </c>
      <c r="D22" s="16" t="s">
        <v>74</v>
      </c>
      <c r="E22" s="63">
        <v>21249.363636364</v>
      </c>
    </row>
    <row r="23" spans="1:5">
      <c r="A23" s="60" t="s">
        <v>87</v>
      </c>
      <c r="B23" s="20">
        <f t="shared" si="0"/>
        <v>1944.0936842104802</v>
      </c>
      <c r="C23" s="61">
        <f t="shared" si="1"/>
        <v>19440.936842104802</v>
      </c>
      <c r="D23" s="16" t="s">
        <v>74</v>
      </c>
      <c r="E23" s="63">
        <v>17673.578947368002</v>
      </c>
    </row>
    <row r="24" spans="1:5">
      <c r="A24" s="60" t="s">
        <v>88</v>
      </c>
      <c r="B24" s="20">
        <f t="shared" si="0"/>
        <v>1957.89</v>
      </c>
      <c r="C24" s="61">
        <f t="shared" si="1"/>
        <v>19578.900000000001</v>
      </c>
      <c r="D24" s="16" t="s">
        <v>74</v>
      </c>
      <c r="E24" s="63">
        <v>17799</v>
      </c>
    </row>
    <row r="25" spans="1:5">
      <c r="A25" s="60" t="s">
        <v>89</v>
      </c>
      <c r="B25" s="20">
        <f t="shared" si="0"/>
        <v>2346.3000000000002</v>
      </c>
      <c r="C25" s="61">
        <f t="shared" si="1"/>
        <v>23463.000000000004</v>
      </c>
      <c r="D25" s="16" t="s">
        <v>74</v>
      </c>
      <c r="E25" s="63">
        <v>21330</v>
      </c>
    </row>
    <row r="26" spans="1:5">
      <c r="A26" s="60" t="s">
        <v>90</v>
      </c>
      <c r="B26" s="20">
        <f t="shared" si="0"/>
        <v>2181.2511111111598</v>
      </c>
      <c r="C26" s="61">
        <f t="shared" si="1"/>
        <v>21812.511111111598</v>
      </c>
      <c r="D26" s="16" t="s">
        <v>74</v>
      </c>
      <c r="E26" s="63">
        <v>19829.555555555999</v>
      </c>
    </row>
    <row r="27" spans="1:5">
      <c r="A27" s="60" t="s">
        <v>91</v>
      </c>
      <c r="B27" s="20">
        <f t="shared" si="0"/>
        <v>2314.9878125000005</v>
      </c>
      <c r="C27" s="61">
        <f t="shared" si="1"/>
        <v>23149.878125000003</v>
      </c>
      <c r="D27" s="16" t="s">
        <v>74</v>
      </c>
      <c r="E27" s="63">
        <v>21045.34375</v>
      </c>
    </row>
    <row r="28" spans="1:5">
      <c r="A28" s="60" t="s">
        <v>92</v>
      </c>
      <c r="B28" s="20">
        <f t="shared" si="0"/>
        <v>2297.5944444444203</v>
      </c>
      <c r="C28" s="61">
        <f t="shared" si="1"/>
        <v>22975.944444444202</v>
      </c>
      <c r="D28" s="16" t="s">
        <v>74</v>
      </c>
      <c r="E28" s="63">
        <v>20887.222222222001</v>
      </c>
    </row>
    <row r="29" spans="1:5">
      <c r="A29" s="60" t="s">
        <v>93</v>
      </c>
      <c r="B29" s="20">
        <f t="shared" si="0"/>
        <v>1909.05</v>
      </c>
      <c r="C29" s="61">
        <f t="shared" si="1"/>
        <v>19090.5</v>
      </c>
      <c r="D29" s="16" t="s">
        <v>94</v>
      </c>
      <c r="E29" s="63">
        <v>17355</v>
      </c>
    </row>
    <row r="30" spans="1:5">
      <c r="A30" s="60" t="s">
        <v>95</v>
      </c>
      <c r="B30" s="20">
        <f t="shared" si="0"/>
        <v>2231.5700000000002</v>
      </c>
      <c r="C30" s="61">
        <f t="shared" si="1"/>
        <v>22315.7</v>
      </c>
      <c r="D30" s="16" t="s">
        <v>71</v>
      </c>
      <c r="E30" s="63">
        <v>20287</v>
      </c>
    </row>
    <row r="31" spans="1:5">
      <c r="A31" s="60" t="s">
        <v>96</v>
      </c>
      <c r="B31" s="20">
        <f>C31/10</f>
        <v>2342.67</v>
      </c>
      <c r="C31" s="61">
        <f t="shared" si="1"/>
        <v>23426.7</v>
      </c>
      <c r="D31" s="16" t="s">
        <v>74</v>
      </c>
      <c r="E31" s="63">
        <v>21297</v>
      </c>
    </row>
    <row r="32" spans="1:5">
      <c r="A32" s="60" t="s">
        <v>97</v>
      </c>
      <c r="B32" s="20">
        <f t="shared" si="0"/>
        <v>2081.6866666666401</v>
      </c>
      <c r="C32" s="61">
        <f t="shared" si="1"/>
        <v>20816.866666666403</v>
      </c>
      <c r="D32" s="16" t="s">
        <v>74</v>
      </c>
      <c r="E32" s="63">
        <v>18924.424242424</v>
      </c>
    </row>
    <row r="33" spans="1:10">
      <c r="A33" s="60" t="s">
        <v>98</v>
      </c>
      <c r="B33" s="20">
        <f t="shared" si="0"/>
        <v>2320.34</v>
      </c>
      <c r="C33" s="61">
        <f t="shared" si="1"/>
        <v>23203.4</v>
      </c>
      <c r="D33" s="16" t="s">
        <v>74</v>
      </c>
      <c r="E33" s="63">
        <v>21094</v>
      </c>
    </row>
    <row r="34" spans="1:10">
      <c r="A34" s="60" t="s">
        <v>99</v>
      </c>
      <c r="B34" s="20">
        <f t="shared" si="0"/>
        <v>2157.4300000000003</v>
      </c>
      <c r="C34" s="61">
        <f t="shared" si="1"/>
        <v>21574.300000000003</v>
      </c>
      <c r="D34" s="16" t="s">
        <v>74</v>
      </c>
      <c r="E34" s="63">
        <v>19613</v>
      </c>
    </row>
    <row r="35" spans="1:10">
      <c r="A35" s="60" t="s">
        <v>100</v>
      </c>
      <c r="B35" s="20">
        <f t="shared" si="0"/>
        <v>2231.5700000000002</v>
      </c>
      <c r="C35" s="61">
        <f t="shared" si="1"/>
        <v>22315.7</v>
      </c>
      <c r="D35" s="16" t="s">
        <v>71</v>
      </c>
      <c r="E35" s="63">
        <v>20287</v>
      </c>
    </row>
    <row r="36" spans="1:10">
      <c r="A36" s="60" t="s">
        <v>101</v>
      </c>
      <c r="B36" s="20">
        <f t="shared" si="0"/>
        <v>2231.5700000000002</v>
      </c>
      <c r="C36" s="61">
        <f t="shared" si="1"/>
        <v>22315.7</v>
      </c>
      <c r="D36" s="16" t="s">
        <v>71</v>
      </c>
      <c r="E36" s="63">
        <v>20287</v>
      </c>
    </row>
    <row r="37" spans="1:10">
      <c r="A37" s="60" t="s">
        <v>102</v>
      </c>
      <c r="B37" s="20">
        <f t="shared" si="0"/>
        <v>2231.5700000000002</v>
      </c>
      <c r="C37" s="61">
        <f t="shared" si="1"/>
        <v>22315.7</v>
      </c>
      <c r="D37" s="16" t="s">
        <v>74</v>
      </c>
      <c r="E37" s="63">
        <v>20287</v>
      </c>
    </row>
    <row r="38" spans="1:10">
      <c r="A38" s="60" t="s">
        <v>103</v>
      </c>
      <c r="B38" s="20">
        <f t="shared" si="0"/>
        <v>2231.5700000000002</v>
      </c>
      <c r="C38" s="61">
        <f t="shared" si="1"/>
        <v>22315.7</v>
      </c>
      <c r="D38" s="16" t="s">
        <v>71</v>
      </c>
      <c r="E38" s="63">
        <v>20287</v>
      </c>
    </row>
    <row r="39" spans="1:10">
      <c r="A39" s="19"/>
      <c r="B39" s="20"/>
      <c r="C39" s="21"/>
      <c r="E39" s="64"/>
    </row>
    <row r="40" spans="1:10" ht="42.75" customHeight="1">
      <c r="A40" s="22" t="s">
        <v>104</v>
      </c>
      <c r="B40" s="23" t="s">
        <v>50</v>
      </c>
      <c r="C40" s="23" t="s">
        <v>105</v>
      </c>
      <c r="E40" s="64"/>
      <c r="H40" s="23"/>
      <c r="I40" s="25"/>
      <c r="J40" s="25"/>
    </row>
    <row r="41" spans="1:10" ht="13.5" customHeight="1">
      <c r="A41" s="26">
        <v>0</v>
      </c>
      <c r="B41" s="23">
        <v>0</v>
      </c>
      <c r="C41" s="23">
        <v>0</v>
      </c>
      <c r="E41" s="64"/>
      <c r="H41" s="23"/>
      <c r="I41" s="25"/>
      <c r="J41" s="25"/>
    </row>
    <row r="42" spans="1:10">
      <c r="A42" s="27">
        <v>1</v>
      </c>
      <c r="B42" s="28">
        <v>302.82</v>
      </c>
      <c r="C42" s="29">
        <f>L57+M57</f>
        <v>154.01</v>
      </c>
      <c r="E42" s="64"/>
      <c r="H42" s="32"/>
      <c r="I42" s="25"/>
      <c r="J42" s="33"/>
    </row>
    <row r="43" spans="1:10">
      <c r="A43" s="27">
        <v>2</v>
      </c>
      <c r="B43" s="28">
        <v>605.64</v>
      </c>
      <c r="C43" s="29">
        <f>L58+M58</f>
        <v>195.05999999999997</v>
      </c>
      <c r="E43" s="64"/>
      <c r="H43" s="32"/>
      <c r="I43" s="25"/>
      <c r="J43" s="33"/>
    </row>
    <row r="44" spans="1:10">
      <c r="A44" s="27">
        <v>3</v>
      </c>
      <c r="B44" s="28">
        <v>908.46</v>
      </c>
      <c r="C44" s="29">
        <f>L59+M59</f>
        <v>236.10999999999999</v>
      </c>
      <c r="E44" s="64"/>
      <c r="H44" s="32"/>
      <c r="I44" s="25"/>
      <c r="J44" s="33"/>
    </row>
    <row r="45" spans="1:10">
      <c r="A45" s="27">
        <v>4</v>
      </c>
      <c r="B45" s="28">
        <v>1211.28</v>
      </c>
      <c r="C45" s="29">
        <f>L60+M60</f>
        <v>277.15999999999997</v>
      </c>
      <c r="E45" s="64"/>
      <c r="H45" s="32"/>
      <c r="I45" s="25"/>
      <c r="J45" s="25"/>
    </row>
    <row r="46" spans="1:10">
      <c r="A46" s="27">
        <v>5</v>
      </c>
      <c r="B46" s="28">
        <v>1514.1</v>
      </c>
      <c r="C46" s="29">
        <f>L61+M61</f>
        <v>318.20999999999998</v>
      </c>
      <c r="E46" s="64"/>
      <c r="H46" s="32"/>
      <c r="I46" s="25"/>
      <c r="J46" s="25"/>
    </row>
    <row r="47" spans="1:10">
      <c r="A47" s="27">
        <v>6</v>
      </c>
      <c r="B47" s="28">
        <v>1816.92</v>
      </c>
      <c r="C47" s="29">
        <f>L62+M62</f>
        <v>359.26</v>
      </c>
      <c r="H47" s="32"/>
      <c r="I47" s="25"/>
      <c r="J47" s="25"/>
    </row>
    <row r="48" spans="1:10">
      <c r="A48" s="27">
        <v>7</v>
      </c>
      <c r="B48" s="28">
        <v>2119.7399999999998</v>
      </c>
      <c r="C48" s="29">
        <f>L63+M63</f>
        <v>970.95</v>
      </c>
      <c r="H48" s="32"/>
      <c r="I48" s="25"/>
      <c r="J48" s="25"/>
    </row>
    <row r="49" spans="1:14">
      <c r="A49" s="27">
        <v>8</v>
      </c>
      <c r="B49" s="28">
        <v>2422.56</v>
      </c>
      <c r="C49" s="29">
        <f>L64+M64</f>
        <v>1011.9999999999999</v>
      </c>
      <c r="F49" s="24"/>
      <c r="G49" s="23"/>
      <c r="H49" s="32"/>
      <c r="I49" s="25"/>
      <c r="J49" s="25"/>
    </row>
    <row r="50" spans="1:14">
      <c r="A50" s="27">
        <v>9</v>
      </c>
      <c r="B50" s="28">
        <v>2725.38</v>
      </c>
      <c r="C50" s="29">
        <f>L65+M65</f>
        <v>1053.05</v>
      </c>
      <c r="F50" s="24"/>
      <c r="G50" s="23"/>
      <c r="H50" s="32"/>
      <c r="I50" s="25"/>
      <c r="J50" s="25"/>
    </row>
    <row r="51" spans="1:14">
      <c r="A51" s="27">
        <v>10</v>
      </c>
      <c r="B51" s="28">
        <v>3028.2</v>
      </c>
      <c r="C51" s="29">
        <f>L66+M66</f>
        <v>1094.0999999999999</v>
      </c>
      <c r="F51" s="31"/>
      <c r="G51" s="29"/>
      <c r="H51" s="32"/>
      <c r="I51" s="25"/>
      <c r="J51" s="25"/>
    </row>
    <row r="52" spans="1:14">
      <c r="A52" s="27">
        <v>11</v>
      </c>
      <c r="B52" s="28">
        <v>3331.02</v>
      </c>
      <c r="C52" s="29">
        <f>L67+M67</f>
        <v>1135.1499999999999</v>
      </c>
      <c r="F52" s="31"/>
      <c r="G52" s="29"/>
      <c r="H52" s="32"/>
      <c r="I52" s="25"/>
      <c r="J52" s="25"/>
    </row>
    <row r="53" spans="1:14">
      <c r="A53" s="27" t="s">
        <v>106</v>
      </c>
      <c r="B53" s="28">
        <v>3633.84</v>
      </c>
      <c r="C53" s="29">
        <f>L68+M68</f>
        <v>1176.2</v>
      </c>
      <c r="F53" s="34"/>
      <c r="G53" s="29"/>
      <c r="H53" s="32"/>
      <c r="I53" s="25"/>
      <c r="J53" s="25"/>
    </row>
    <row r="54" spans="1:14">
      <c r="A54" s="35"/>
      <c r="B54" s="34"/>
      <c r="C54" s="31"/>
      <c r="F54" s="34"/>
      <c r="G54" s="29"/>
      <c r="H54" s="25"/>
      <c r="I54" s="25"/>
      <c r="J54" s="25"/>
      <c r="K54" s="25"/>
      <c r="L54" s="25"/>
    </row>
    <row r="55" spans="1:14">
      <c r="A55" s="36" t="s">
        <v>107</v>
      </c>
      <c r="B55" s="25"/>
      <c r="C55" s="25"/>
      <c r="F55" s="34"/>
      <c r="G55" s="29"/>
      <c r="H55" s="25"/>
      <c r="I55" s="25"/>
      <c r="J55" s="25"/>
      <c r="K55" s="25"/>
      <c r="L55" s="25"/>
    </row>
    <row r="56" spans="1:14" s="37" customFormat="1" ht="69">
      <c r="A56" s="37" t="s">
        <v>104</v>
      </c>
      <c r="B56" s="26" t="s">
        <v>108</v>
      </c>
      <c r="C56" s="26" t="s">
        <v>109</v>
      </c>
      <c r="D56" s="26" t="s">
        <v>110</v>
      </c>
      <c r="E56" s="26" t="s">
        <v>111</v>
      </c>
      <c r="F56" s="26" t="s">
        <v>112</v>
      </c>
      <c r="G56" s="26" t="s">
        <v>113</v>
      </c>
      <c r="H56" s="26" t="s">
        <v>114</v>
      </c>
      <c r="I56" s="26" t="s">
        <v>115</v>
      </c>
      <c r="J56" s="26" t="s">
        <v>116</v>
      </c>
      <c r="K56" s="26" t="s">
        <v>117</v>
      </c>
      <c r="L56" s="26" t="s">
        <v>118</v>
      </c>
      <c r="M56" s="23" t="s">
        <v>119</v>
      </c>
    </row>
    <row r="57" spans="1:14">
      <c r="A57" s="38">
        <v>1</v>
      </c>
      <c r="B57" s="28">
        <v>30</v>
      </c>
      <c r="C57" s="28">
        <v>23.48</v>
      </c>
      <c r="D57" s="28">
        <v>8.08</v>
      </c>
      <c r="E57" s="28">
        <v>3.95</v>
      </c>
      <c r="F57" s="28">
        <v>0</v>
      </c>
      <c r="G57" s="28">
        <v>0</v>
      </c>
      <c r="H57" s="28">
        <v>5.05</v>
      </c>
      <c r="I57" s="28">
        <v>4.0999999999999996</v>
      </c>
      <c r="J57" s="28">
        <v>65.8</v>
      </c>
      <c r="K57" s="28">
        <v>0</v>
      </c>
      <c r="L57" s="29">
        <f>SUM(B57:K57)</f>
        <v>140.45999999999998</v>
      </c>
      <c r="M57" s="28">
        <v>13.55</v>
      </c>
    </row>
    <row r="58" spans="1:14">
      <c r="A58" s="38">
        <v>2</v>
      </c>
      <c r="B58" s="28">
        <v>30</v>
      </c>
      <c r="C58" s="28">
        <v>29.8</v>
      </c>
      <c r="D58" s="28">
        <v>16.16</v>
      </c>
      <c r="E58" s="28">
        <v>7.9</v>
      </c>
      <c r="F58" s="28">
        <v>0</v>
      </c>
      <c r="G58" s="28">
        <v>0</v>
      </c>
      <c r="H58" s="28">
        <v>10.1</v>
      </c>
      <c r="I58" s="28">
        <v>8.1999999999999993</v>
      </c>
      <c r="J58" s="28">
        <v>65.8</v>
      </c>
      <c r="K58" s="28">
        <v>0</v>
      </c>
      <c r="L58" s="29">
        <f>SUM(B58:K58)</f>
        <v>167.95999999999998</v>
      </c>
      <c r="M58" s="28">
        <v>27.1</v>
      </c>
    </row>
    <row r="59" spans="1:14">
      <c r="A59" s="38">
        <v>3</v>
      </c>
      <c r="B59" s="28">
        <v>30</v>
      </c>
      <c r="C59" s="28">
        <v>36.119999999999997</v>
      </c>
      <c r="D59" s="28">
        <v>24.24</v>
      </c>
      <c r="E59" s="28">
        <v>11.85</v>
      </c>
      <c r="F59" s="28">
        <v>0</v>
      </c>
      <c r="G59" s="28">
        <v>0</v>
      </c>
      <c r="H59" s="28">
        <v>15.15</v>
      </c>
      <c r="I59" s="28">
        <v>12.3</v>
      </c>
      <c r="J59" s="28">
        <v>65.8</v>
      </c>
      <c r="K59" s="28">
        <v>0</v>
      </c>
      <c r="L59" s="29">
        <f>SUM(B59:K59)</f>
        <v>195.45999999999998</v>
      </c>
      <c r="M59" s="28">
        <v>40.65</v>
      </c>
    </row>
    <row r="60" spans="1:14">
      <c r="A60" s="38">
        <v>4</v>
      </c>
      <c r="B60" s="28">
        <v>30</v>
      </c>
      <c r="C60" s="28">
        <v>42.44</v>
      </c>
      <c r="D60" s="28">
        <v>32.32</v>
      </c>
      <c r="E60" s="28">
        <v>15.8</v>
      </c>
      <c r="F60" s="28">
        <v>0</v>
      </c>
      <c r="G60" s="28">
        <v>0</v>
      </c>
      <c r="H60" s="28">
        <v>20.2</v>
      </c>
      <c r="I60" s="28">
        <v>16.399999999999999</v>
      </c>
      <c r="J60" s="28">
        <v>65.8</v>
      </c>
      <c r="K60" s="28">
        <v>0</v>
      </c>
      <c r="L60" s="29">
        <f>SUM(B60:K60)</f>
        <v>222.95999999999998</v>
      </c>
      <c r="M60" s="28">
        <v>54.2</v>
      </c>
    </row>
    <row r="61" spans="1:14">
      <c r="A61" s="38">
        <v>5</v>
      </c>
      <c r="B61" s="28">
        <v>30</v>
      </c>
      <c r="C61" s="28">
        <v>48.76</v>
      </c>
      <c r="D61" s="28">
        <v>40.4</v>
      </c>
      <c r="E61" s="28">
        <v>19.75</v>
      </c>
      <c r="F61" s="28">
        <v>0</v>
      </c>
      <c r="G61" s="28">
        <v>0</v>
      </c>
      <c r="H61" s="28">
        <v>25.25</v>
      </c>
      <c r="I61" s="28">
        <v>20.5</v>
      </c>
      <c r="J61" s="28">
        <v>65.8</v>
      </c>
      <c r="K61" s="28">
        <v>0</v>
      </c>
      <c r="L61" s="29">
        <f>SUM(B61:K61)</f>
        <v>250.45999999999998</v>
      </c>
      <c r="M61" s="28">
        <v>67.75</v>
      </c>
    </row>
    <row r="62" spans="1:14">
      <c r="A62" s="38">
        <v>6</v>
      </c>
      <c r="B62" s="28">
        <v>30</v>
      </c>
      <c r="C62" s="28">
        <v>55.08</v>
      </c>
      <c r="D62" s="28">
        <v>48.48</v>
      </c>
      <c r="E62" s="28">
        <v>23.7</v>
      </c>
      <c r="F62" s="28">
        <v>0</v>
      </c>
      <c r="G62" s="28">
        <v>0</v>
      </c>
      <c r="H62" s="28">
        <v>30.3</v>
      </c>
      <c r="I62" s="28">
        <v>24.6</v>
      </c>
      <c r="J62" s="28">
        <v>65.8</v>
      </c>
      <c r="K62" s="28">
        <v>0</v>
      </c>
      <c r="L62" s="29">
        <f>SUM(B62:K62)</f>
        <v>277.95999999999998</v>
      </c>
      <c r="M62" s="28">
        <v>81.3</v>
      </c>
    </row>
    <row r="63" spans="1:14">
      <c r="A63" s="38">
        <v>7</v>
      </c>
      <c r="B63" s="28">
        <v>30</v>
      </c>
      <c r="C63" s="28">
        <v>61.4</v>
      </c>
      <c r="D63" s="28">
        <v>115.6</v>
      </c>
      <c r="E63" s="28">
        <v>27.65</v>
      </c>
      <c r="F63" s="28">
        <v>135.1</v>
      </c>
      <c r="G63" s="28">
        <v>290.25</v>
      </c>
      <c r="H63" s="28">
        <v>35.35</v>
      </c>
      <c r="I63" s="28">
        <v>28.7</v>
      </c>
      <c r="J63" s="28">
        <v>65.8</v>
      </c>
      <c r="K63" s="28">
        <v>86.25</v>
      </c>
      <c r="L63" s="29">
        <f>SUM(B63:K63)</f>
        <v>876.1</v>
      </c>
      <c r="M63" s="28">
        <v>94.85</v>
      </c>
      <c r="N63" s="39"/>
    </row>
    <row r="64" spans="1:14">
      <c r="A64" s="38">
        <v>8</v>
      </c>
      <c r="B64" s="28">
        <v>30</v>
      </c>
      <c r="C64" s="28">
        <v>67.72</v>
      </c>
      <c r="D64" s="28">
        <v>123.68</v>
      </c>
      <c r="E64" s="28">
        <v>31.6</v>
      </c>
      <c r="F64" s="28">
        <v>135.1</v>
      </c>
      <c r="G64" s="28">
        <v>290.25</v>
      </c>
      <c r="H64" s="28">
        <v>40.4</v>
      </c>
      <c r="I64" s="28">
        <v>32.799999999999997</v>
      </c>
      <c r="J64" s="28">
        <v>65.8</v>
      </c>
      <c r="K64" s="28">
        <v>86.25</v>
      </c>
      <c r="L64" s="29">
        <f>SUM(B64:K64)</f>
        <v>903.59999999999991</v>
      </c>
      <c r="M64" s="28">
        <v>108.4</v>
      </c>
    </row>
    <row r="65" spans="1:13">
      <c r="A65" s="38">
        <v>9</v>
      </c>
      <c r="B65" s="28">
        <v>30</v>
      </c>
      <c r="C65" s="28">
        <v>74.040000000000006</v>
      </c>
      <c r="D65" s="28">
        <v>131.76</v>
      </c>
      <c r="E65" s="28">
        <v>35.549999999999997</v>
      </c>
      <c r="F65" s="28">
        <v>135.1</v>
      </c>
      <c r="G65" s="28">
        <v>290.25</v>
      </c>
      <c r="H65" s="28">
        <v>45.45</v>
      </c>
      <c r="I65" s="28">
        <v>36.9</v>
      </c>
      <c r="J65" s="28">
        <v>65.8</v>
      </c>
      <c r="K65" s="28">
        <v>86.25</v>
      </c>
      <c r="L65" s="29">
        <f>SUM(B65:K65)</f>
        <v>931.1</v>
      </c>
      <c r="M65" s="28">
        <v>121.95</v>
      </c>
    </row>
    <row r="66" spans="1:13">
      <c r="A66" s="38">
        <v>10</v>
      </c>
      <c r="B66" s="28">
        <v>30</v>
      </c>
      <c r="C66" s="28">
        <v>80.36</v>
      </c>
      <c r="D66" s="28">
        <v>139.84</v>
      </c>
      <c r="E66" s="28">
        <v>39.5</v>
      </c>
      <c r="F66" s="28">
        <v>135.1</v>
      </c>
      <c r="G66" s="28">
        <v>290.25</v>
      </c>
      <c r="H66" s="28">
        <v>50.5</v>
      </c>
      <c r="I66" s="28">
        <v>41</v>
      </c>
      <c r="J66" s="28">
        <v>65.8</v>
      </c>
      <c r="K66" s="28">
        <v>86.25</v>
      </c>
      <c r="L66" s="29">
        <f>SUM(B66:K66)</f>
        <v>958.59999999999991</v>
      </c>
      <c r="M66" s="28">
        <v>135.5</v>
      </c>
    </row>
    <row r="67" spans="1:13">
      <c r="A67" s="38">
        <v>11</v>
      </c>
      <c r="B67" s="28">
        <v>30</v>
      </c>
      <c r="C67" s="28">
        <v>86.68</v>
      </c>
      <c r="D67" s="28">
        <v>147.91999999999999</v>
      </c>
      <c r="E67" s="28">
        <v>43.45</v>
      </c>
      <c r="F67" s="28">
        <v>135.1</v>
      </c>
      <c r="G67" s="28">
        <v>290.25</v>
      </c>
      <c r="H67" s="28">
        <v>55.55</v>
      </c>
      <c r="I67" s="28">
        <v>45.1</v>
      </c>
      <c r="J67" s="28">
        <v>65.8</v>
      </c>
      <c r="K67" s="28">
        <v>86.25</v>
      </c>
      <c r="L67" s="29">
        <f>SUM(B67:K67)</f>
        <v>986.09999999999991</v>
      </c>
      <c r="M67" s="28">
        <v>149.05000000000001</v>
      </c>
    </row>
    <row r="68" spans="1:13">
      <c r="A68" s="40">
        <v>12</v>
      </c>
      <c r="B68" s="28">
        <v>30</v>
      </c>
      <c r="C68" s="28">
        <v>93</v>
      </c>
      <c r="D68" s="28">
        <v>156</v>
      </c>
      <c r="E68" s="28">
        <v>47.4</v>
      </c>
      <c r="F68" s="28">
        <v>135.1</v>
      </c>
      <c r="G68" s="28">
        <v>290.25</v>
      </c>
      <c r="H68" s="28">
        <v>60.6</v>
      </c>
      <c r="I68" s="28">
        <v>49.2</v>
      </c>
      <c r="J68" s="28">
        <v>65.8</v>
      </c>
      <c r="K68" s="28">
        <v>86.25</v>
      </c>
      <c r="L68" s="29">
        <f>SUM(B68:K68)</f>
        <v>1013.6</v>
      </c>
      <c r="M68" s="28">
        <v>162.6</v>
      </c>
    </row>
    <row r="69" spans="1:13">
      <c r="D69" s="30"/>
      <c r="E69" s="34"/>
    </row>
    <row r="70" spans="1:13" ht="28.9">
      <c r="B70" s="41" t="s">
        <v>120</v>
      </c>
      <c r="C70" s="41" t="s">
        <v>121</v>
      </c>
      <c r="F70" s="42"/>
      <c r="G70" s="44"/>
      <c r="H70" s="44"/>
      <c r="I70" s="44"/>
      <c r="J70" s="44"/>
      <c r="K70" s="44"/>
    </row>
    <row r="71" spans="1:13">
      <c r="A71" s="16" t="s">
        <v>122</v>
      </c>
      <c r="B71" s="16">
        <v>0</v>
      </c>
      <c r="C71" s="16">
        <v>2</v>
      </c>
      <c r="D71" s="42"/>
      <c r="E71" s="43"/>
    </row>
    <row r="72" spans="1:13">
      <c r="A72" s="16" t="s">
        <v>123</v>
      </c>
      <c r="B72" s="16">
        <v>5</v>
      </c>
      <c r="C72" s="16">
        <v>0</v>
      </c>
    </row>
    <row r="73" spans="1:13">
      <c r="A73" s="16" t="s">
        <v>124</v>
      </c>
      <c r="B73" s="16">
        <v>5</v>
      </c>
      <c r="C73" s="16">
        <v>2</v>
      </c>
    </row>
    <row r="74" spans="1:13">
      <c r="A74" s="16" t="s">
        <v>125</v>
      </c>
      <c r="B74" s="16">
        <v>10</v>
      </c>
      <c r="C74" s="16">
        <v>0</v>
      </c>
    </row>
    <row r="75" spans="1:13">
      <c r="A75" s="16" t="s">
        <v>8</v>
      </c>
      <c r="B75" s="16">
        <v>10</v>
      </c>
      <c r="C75" s="16">
        <v>2</v>
      </c>
    </row>
    <row r="76" spans="1:13">
      <c r="A76" s="16" t="s">
        <v>126</v>
      </c>
    </row>
    <row r="77" spans="1:13">
      <c r="A77" s="16" t="s">
        <v>127</v>
      </c>
      <c r="B77" s="16">
        <f>COUNTIF(Student!E11:N11,"Y")*Student!D11</f>
        <v>0</v>
      </c>
      <c r="C77" s="16">
        <f>COUNTIF(Student!O11:P11,"Y")*Student!D11</f>
        <v>0</v>
      </c>
    </row>
    <row r="78" spans="1:13">
      <c r="A78" s="16" t="s">
        <v>128</v>
      </c>
      <c r="B78" s="16">
        <f>COUNTIF(Student!E12:N12,"Y")*Student!D12</f>
        <v>0</v>
      </c>
      <c r="C78" s="16">
        <f>COUNTIF(Student!O12:P12,"y")*Student!D12</f>
        <v>0</v>
      </c>
    </row>
    <row r="79" spans="1:13">
      <c r="A79" s="16" t="s">
        <v>129</v>
      </c>
      <c r="B79" s="16">
        <f>COUNTIF(Student!E13:N13,"Y")*Student!D13</f>
        <v>0</v>
      </c>
      <c r="C79" s="16">
        <f>COUNTIF(Student!O13:P13,"Y")*Student!D13</f>
        <v>0</v>
      </c>
    </row>
    <row r="80" spans="1:13">
      <c r="A80" s="16" t="s">
        <v>130</v>
      </c>
      <c r="B80" s="16">
        <f>COUNTIF(Student!E14:N14,"Y")*Student!D14</f>
        <v>0</v>
      </c>
      <c r="C80" s="16">
        <f>COUNTIF(Student!O14:P14,"Y")*Student!D14</f>
        <v>0</v>
      </c>
    </row>
    <row r="81" spans="1:6">
      <c r="A81" s="16" t="s">
        <v>131</v>
      </c>
      <c r="B81" s="16">
        <f>COUNTIF(Student!E15:N15,"Y")*Student!D15</f>
        <v>0</v>
      </c>
      <c r="C81" s="16">
        <f>COUNTIF(Student!O15:P15,"Y")*Student!D15</f>
        <v>0</v>
      </c>
    </row>
    <row r="83" spans="1:6">
      <c r="A83" s="45" t="s">
        <v>50</v>
      </c>
      <c r="B83" s="45" t="s">
        <v>132</v>
      </c>
      <c r="C83" s="45" t="s">
        <v>133</v>
      </c>
      <c r="D83" s="45" t="s">
        <v>34</v>
      </c>
      <c r="E83" s="45" t="s">
        <v>35</v>
      </c>
      <c r="F83" s="45" t="s">
        <v>36</v>
      </c>
    </row>
    <row r="84" spans="1:6">
      <c r="A84" s="46" t="s">
        <v>122</v>
      </c>
      <c r="B84" s="47">
        <f>0</f>
        <v>0</v>
      </c>
      <c r="C84" s="47">
        <f>IF(Student!C$22="Y",Lists!B84*1.02,Lists!B84)</f>
        <v>0</v>
      </c>
      <c r="D84" s="47">
        <f>IF(Student!C$22="Y",Lists!C84*1.02,Lists!C84)</f>
        <v>0</v>
      </c>
      <c r="E84" s="47">
        <f>IF(Student!C$22="Y",Lists!D84*1.02,Lists!D84)</f>
        <v>0</v>
      </c>
      <c r="F84" s="47">
        <f>IF(Student!C$22="Y",Lists!E84*1.02,Lists!E84)</f>
        <v>0</v>
      </c>
    </row>
    <row r="85" spans="1:6">
      <c r="A85" s="46" t="s">
        <v>123</v>
      </c>
      <c r="B85" s="47">
        <f>B47</f>
        <v>1816.92</v>
      </c>
      <c r="C85" s="47">
        <f>IF(Student!C$22="Y",Lists!B85*1.02,Lists!B85)</f>
        <v>1816.92</v>
      </c>
      <c r="D85" s="47">
        <f>IF(Student!C$22="Y",Lists!C85*1.02,Lists!C85)</f>
        <v>1816.92</v>
      </c>
      <c r="E85" s="47">
        <f>IF(Student!C$22="Y",Lists!D85*1.02,Lists!D85)</f>
        <v>1816.92</v>
      </c>
      <c r="F85" s="47">
        <f>IF(Student!C$22="Y",Lists!E85*1.02,Lists!E85)</f>
        <v>1816.92</v>
      </c>
    </row>
    <row r="86" spans="1:6">
      <c r="A86" s="46" t="s">
        <v>124</v>
      </c>
      <c r="B86" s="47">
        <f>B47</f>
        <v>1816.92</v>
      </c>
      <c r="C86" s="47">
        <f>IF(Student!C$22="Y",Lists!B86*1.02,Lists!B86)</f>
        <v>1816.92</v>
      </c>
      <c r="D86" s="47">
        <f>IF(Student!C$22="Y",Lists!C86*1.02,Lists!C86)</f>
        <v>1816.92</v>
      </c>
      <c r="E86" s="47">
        <f>IF(Student!C$22="Y",Lists!D86*1.02,Lists!D86)</f>
        <v>1816.92</v>
      </c>
      <c r="F86" s="47">
        <f>IF(Student!C$22="Y",Lists!E86*1.02,Lists!E86)</f>
        <v>1816.92</v>
      </c>
    </row>
    <row r="87" spans="1:6">
      <c r="A87" s="46" t="s">
        <v>125</v>
      </c>
      <c r="B87" s="47">
        <f>B47*2</f>
        <v>3633.84</v>
      </c>
      <c r="C87" s="47">
        <f>IF(Student!C$22="Y",Lists!B87*1.02,Lists!B87)</f>
        <v>3633.84</v>
      </c>
      <c r="D87" s="47">
        <f>IF(Student!C$22="Y",Lists!C87*1.02,Lists!C87)</f>
        <v>3633.84</v>
      </c>
      <c r="E87" s="47">
        <f>IF(Student!C$22="Y",Lists!D87*1.02,Lists!D87)</f>
        <v>3633.84</v>
      </c>
      <c r="F87" s="47">
        <f>IF(Student!C$22="Y",Lists!E87*1.02,Lists!E87)</f>
        <v>3633.84</v>
      </c>
    </row>
    <row r="88" spans="1:6">
      <c r="A88" s="46" t="s">
        <v>8</v>
      </c>
      <c r="B88" s="47">
        <f>B47*2</f>
        <v>3633.84</v>
      </c>
      <c r="C88" s="47">
        <f>IF(Student!C$22="Y",Lists!B88*1.02,Lists!B88)</f>
        <v>3633.84</v>
      </c>
      <c r="D88" s="47">
        <f>IF(Student!C$22="Y",Lists!C88*1.02,Lists!C88)</f>
        <v>3633.84</v>
      </c>
      <c r="E88" s="47">
        <f>IF(Student!C$22="Y",Lists!D88*1.02,Lists!D88)</f>
        <v>3633.84</v>
      </c>
      <c r="F88" s="47">
        <f>IF(Student!C$22="Y",Lists!E88*1.02,Lists!E88)</f>
        <v>3633.84</v>
      </c>
    </row>
    <row r="89" spans="1:6">
      <c r="A89" s="46" t="s">
        <v>126</v>
      </c>
      <c r="B89" s="47">
        <f>VLOOKUP(Student!D17,A$41:B$53,2,FALSE)+VLOOKUP(Student!D18,A$41:B$53,2,FALSE)</f>
        <v>0</v>
      </c>
      <c r="C89" s="47">
        <f>IF(Student!C22="Y",((VLOOKUP(Student!G17,A$41:B$53,2,FALSE)+VLOOKUP(Student!G18,A$41:B$53,2,FALSE))*1.02),(VLOOKUP(Student!G17,A$41:B$53,2,FALSE)+VLOOKUP(Student!G18,A$41:B$53,2,FALSE)))</f>
        <v>0</v>
      </c>
      <c r="D89" s="47">
        <f>IF(Student!C22="Y",((VLOOKUP(Student!J17,A$41:B$53,2,FALSE)+VLOOKUP(Student!J18,A$41:B$53,2,FALSE))*1.02*1.02),(VLOOKUP(Student!J17,A$41:B$53,2,FALSE)+VLOOKUP(Student!J18,A$41:B$53,2,FALSE)))</f>
        <v>0</v>
      </c>
      <c r="E89" s="47">
        <f>IF(Student!C22="Y",((VLOOKUP(Student!M17,A$41:B$53,2,FALSE)+VLOOKUP(Student!M18,A$41:B$53,2,FALSE))*1.02*1.02*1.02),(VLOOKUP(Student!M17,A$41:B$53,2,FALSE)+VLOOKUP(Student!M18,A$41:B$53,2,FALSE)))</f>
        <v>0</v>
      </c>
      <c r="F89" s="47">
        <f>IF(Student!C22="Y",((VLOOKUP(Student!P17,A$41:B$53,2,FALSE)+VLOOKUP(Student!P18,A$41:B$53,2,FALSE))*1.02*1.02*1.02*1.02),(VLOOKUP(Student!P17,A$41:B$53,2,FALSE)+VLOOKUP(Student!P18,A$41:B$53,2,FALSE)))</f>
        <v>0</v>
      </c>
    </row>
    <row r="90" spans="1:6">
      <c r="A90" s="45" t="s">
        <v>134</v>
      </c>
    </row>
    <row r="91" spans="1:6">
      <c r="A91" s="46" t="s">
        <v>122</v>
      </c>
      <c r="B91" s="16">
        <v>0</v>
      </c>
    </row>
    <row r="92" spans="1:6">
      <c r="A92" s="46" t="s">
        <v>123</v>
      </c>
      <c r="B92" s="47">
        <f>C47</f>
        <v>359.26</v>
      </c>
      <c r="C92" s="47">
        <f>IF(Student!C$22="Y",(Lists!B92*1.02),Lists!B92)</f>
        <v>359.26</v>
      </c>
      <c r="D92" s="47">
        <f>IF(Student!$C$22="Y",(Lists!C92*1.02),Lists!C92)</f>
        <v>359.26</v>
      </c>
      <c r="E92" s="47">
        <f>IF(Student!$C$22="Y",(Lists!D92*1.02),Lists!D92)</f>
        <v>359.26</v>
      </c>
      <c r="F92" s="47">
        <f>IF(Student!$C$22="Y",(Lists!E92*1.02),Lists!E92)</f>
        <v>359.26</v>
      </c>
    </row>
    <row r="93" spans="1:6">
      <c r="A93" s="46" t="s">
        <v>124</v>
      </c>
      <c r="B93" s="47">
        <f>C47</f>
        <v>359.26</v>
      </c>
      <c r="C93" s="47">
        <f>IF(Student!C$22="Y",(Lists!B93*1.02),Lists!B93)</f>
        <v>359.26</v>
      </c>
      <c r="D93" s="47">
        <f>IF(Student!$C$22="Y",(Lists!C93*1.02),Lists!C93)</f>
        <v>359.26</v>
      </c>
      <c r="E93" s="47">
        <f>IF(Student!$C$22="Y",(Lists!D93*1.02),Lists!D93)</f>
        <v>359.26</v>
      </c>
      <c r="F93" s="47">
        <f>IF(Student!$C$22="Y",(Lists!E93*1.02),Lists!E93)</f>
        <v>359.26</v>
      </c>
    </row>
    <row r="94" spans="1:6">
      <c r="A94" s="46" t="s">
        <v>125</v>
      </c>
      <c r="B94" s="47">
        <f>C47*2</f>
        <v>718.52</v>
      </c>
      <c r="C94" s="47">
        <f>IF(Student!C$22="Y",(Lists!B94*1.02),Lists!B94)</f>
        <v>718.52</v>
      </c>
      <c r="D94" s="47">
        <f>IF(Student!$C$22="Y",(Lists!C94*1.02),Lists!C94)</f>
        <v>718.52</v>
      </c>
      <c r="E94" s="47">
        <f>IF(Student!$C$22="Y",(Lists!D94*1.02),Lists!D94)</f>
        <v>718.52</v>
      </c>
      <c r="F94" s="47">
        <f>IF(Student!$C$22="Y",(Lists!E94*1.02),Lists!E94)</f>
        <v>718.52</v>
      </c>
    </row>
    <row r="95" spans="1:6">
      <c r="A95" s="46" t="s">
        <v>8</v>
      </c>
      <c r="B95" s="47">
        <f>C47*2</f>
        <v>718.52</v>
      </c>
      <c r="C95" s="47">
        <f>IF(Student!C$22="Y",(Lists!B95*1.02),Lists!B95)</f>
        <v>718.52</v>
      </c>
      <c r="D95" s="47">
        <f>IF(Student!$C$22="Y",(Lists!C95*1.02),Lists!C95)</f>
        <v>718.52</v>
      </c>
      <c r="E95" s="47">
        <f>IF(Student!$C$22="Y",(Lists!D95*1.02),Lists!D95)</f>
        <v>718.52</v>
      </c>
      <c r="F95" s="47">
        <f>IF(Student!$C$22="Y",(Lists!E95*1.02),Lists!E95)</f>
        <v>718.52</v>
      </c>
    </row>
    <row r="96" spans="1:6">
      <c r="A96" s="46" t="s">
        <v>126</v>
      </c>
      <c r="B96" s="47">
        <f>VLOOKUP(Student!D17,A$41:E$53,3,FALSE)+(VLOOKUP(Student!D18,A$41:E$53,3,FALSE))</f>
        <v>0</v>
      </c>
      <c r="C96" s="47">
        <f>IF(Student!C22="Y",((VLOOKUP(Student!G17,A$41:E$53,3,FALSE)+(VLOOKUP(Student!G18,A$41:E$53,3,FALSE)))*1.02),(VLOOKUP(Student!G17,A$41:E$53,3,FALSE)+(VLOOKUP(Student!G18,A$41:E$53,3,FALSE))))</f>
        <v>0</v>
      </c>
      <c r="D96" s="47">
        <f>IF(Student!C22="Y",((VLOOKUP(Student!J17,A$41:E$53,3,FALSE)+(VLOOKUP(Student!J18,A$41:E$53,3,FALSE)))*1.02*1.02),(VLOOKUP(Student!J17,A$41:E$53,3,FALSE)+(VLOOKUP(Student!J18,A$41:E$53,3,FALSE))))</f>
        <v>0</v>
      </c>
      <c r="E96" s="47">
        <f>IF(Student!C22="Y",((VLOOKUP(Student!M17,A$41:E$53,3,FALSE)+(VLOOKUP(Student!M18,A$41:E$53,3,FALSE)))*1.02*1.02*1.02),(VLOOKUP(Student!M17,A$41:E$53,3,FALSE)+(VLOOKUP(Student!M18,A$41:E$53,3,FALSE))))</f>
        <v>0</v>
      </c>
      <c r="F96" s="47">
        <f>IF(Student!C22="Y",((VLOOKUP(Student!P17,A$41:E$53,3,FALSE)+(VLOOKUP(Student!P18,A$41:E$53,3,FALSE)))*1.02*1.02*1.028102),(VLOOKUP(Student!P17,A$41:E$53,3,FALSE)+(VLOOKUP(Student!P18,A$41:E$53,3,FALSE))))</f>
        <v>0</v>
      </c>
    </row>
    <row r="97" spans="1:6">
      <c r="A97" s="45" t="s">
        <v>135</v>
      </c>
    </row>
    <row r="98" spans="1:6">
      <c r="A98" s="46" t="s">
        <v>122</v>
      </c>
      <c r="B98" s="47">
        <v>0</v>
      </c>
      <c r="C98" s="47">
        <v>0</v>
      </c>
      <c r="D98" s="47">
        <v>0</v>
      </c>
      <c r="E98" s="47">
        <v>0</v>
      </c>
      <c r="F98" s="47">
        <v>0</v>
      </c>
    </row>
    <row r="99" spans="1:6">
      <c r="A99" s="46" t="s">
        <v>123</v>
      </c>
      <c r="B99" s="47">
        <v>2310</v>
      </c>
      <c r="C99" s="47">
        <f>IF(Student!$C$22="Y",(Lists!B99*1.02),Lists!B99)</f>
        <v>2310</v>
      </c>
      <c r="D99" s="47">
        <f>IF(Student!$C$22="Y",(Lists!C99*1.02),Lists!C99)</f>
        <v>2310</v>
      </c>
      <c r="E99" s="47">
        <f>IF(Student!$C$22="Y",(Lists!D99*1.02),Lists!D99)</f>
        <v>2310</v>
      </c>
      <c r="F99" s="47">
        <f>IF(Student!$C$22="Y",(Lists!E99*1.02),Lists!E99)</f>
        <v>2310</v>
      </c>
    </row>
    <row r="100" spans="1:6">
      <c r="A100" s="46" t="s">
        <v>124</v>
      </c>
      <c r="B100" s="47">
        <v>2310</v>
      </c>
      <c r="C100" s="47">
        <f>IF(Student!$C$22="Y",(Lists!B100*1.02),Lists!B100)</f>
        <v>2310</v>
      </c>
      <c r="D100" s="47">
        <f>IF(Student!$C$22="Y",(Lists!C100*1.02),Lists!C100)</f>
        <v>2310</v>
      </c>
      <c r="E100" s="47">
        <f>IF(Student!$C$22="Y",(Lists!D100*1.02),Lists!D100)</f>
        <v>2310</v>
      </c>
      <c r="F100" s="47">
        <f>IF(Student!$C$22="Y",(Lists!E100*1.02),Lists!E100)</f>
        <v>2310</v>
      </c>
    </row>
    <row r="101" spans="1:6">
      <c r="A101" s="46" t="s">
        <v>125</v>
      </c>
      <c r="B101" s="47">
        <f>A104</f>
        <v>4620</v>
      </c>
      <c r="C101" s="47">
        <f>IF(Student!$C$22="Y",(Lists!B101*1.02),Lists!B101)</f>
        <v>4620</v>
      </c>
      <c r="D101" s="47">
        <f>IF(Student!$C$22="Y",(Lists!C101*1.02),Lists!C101)</f>
        <v>4620</v>
      </c>
      <c r="E101" s="47">
        <f>IF(Student!$C$22="Y",(Lists!D101*1.02),Lists!D101)</f>
        <v>4620</v>
      </c>
      <c r="F101" s="47">
        <f>IF(Student!$C$22="Y",(Lists!E101*1.02),Lists!E101)</f>
        <v>4620</v>
      </c>
    </row>
    <row r="102" spans="1:6">
      <c r="A102" s="46" t="s">
        <v>8</v>
      </c>
      <c r="B102" s="47">
        <f>A104</f>
        <v>4620</v>
      </c>
      <c r="C102" s="47">
        <f>IF(Student!$C$22="Y",(Lists!B102*1.02),Lists!B102)</f>
        <v>4620</v>
      </c>
      <c r="D102" s="47">
        <f>IF(Student!$C$22="Y",(Lists!C102*1.02),Lists!C102)</f>
        <v>4620</v>
      </c>
      <c r="E102" s="47">
        <f>IF(Student!$C$22="Y",(Lists!D102*1.02),Lists!D102)</f>
        <v>4620</v>
      </c>
      <c r="F102" s="47">
        <f>IF(Student!$C$22="Y",(Lists!E102*1.02),Lists!E102)</f>
        <v>4620</v>
      </c>
    </row>
    <row r="103" spans="1:6">
      <c r="A103" s="46" t="s">
        <v>126</v>
      </c>
      <c r="B103" s="47">
        <f>IF(Student!D17&gt;0,(0.5*A104))+(IF(Student!D18&gt;0,(0.5*A104),0))</f>
        <v>0</v>
      </c>
      <c r="C103" s="47">
        <f>IF(Student!C22="Y",((IF(Student!G17&gt;0,(0.5*A104))+(IF(Student!G18&gt;0,(0.5*A104),0)))*1.02),(IF(Student!G17&gt;0,(0.5*A104))+(IF(Student!G18&gt;0,(0.5*A104),0))))</f>
        <v>0</v>
      </c>
      <c r="D103" s="47">
        <f>IF(Student!C22="Y",((IF(Student!J17&gt;0,(0.5*A104))+(IF(Student!J18&gt;0,(0.5*A104),0)))*1.02*1.02),(IF(Student!J17&gt;0,(0.5*A104))+(IF(Student!J18&gt;0,(0.5*A104),0))))</f>
        <v>0</v>
      </c>
      <c r="E103" s="47">
        <f>IF(Student!C22="Y",((IF(Student!M17&gt;0,(0.5*A104))+(IF(Student!M18&gt;0,(0.5*A104),0)))*1.02*1.02*1.02),(IF(Student!M17&gt;0,(0.5*A104))+(IF(Student!M18&gt;0,(0.5*A104),0))))</f>
        <v>0</v>
      </c>
      <c r="F103" s="47">
        <f>IF(Student!C22="Y",((IF(Student!P17&gt;0,(0.5*A104))+(IF(Student!P18&gt;0,(0.5*A104),0)))*1.02*1.02*1.02*1.02),(IF(Student!P17&gt;0,(0.5*A104))+(IF(Student!P18&gt;0,(0.5*A104),0))))</f>
        <v>0</v>
      </c>
    </row>
    <row r="104" spans="1:6">
      <c r="A104" s="17">
        <f>2310+2310</f>
        <v>4620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Buker, Tracy</dc:creator>
  <cp:keywords/>
  <dc:description/>
  <cp:lastModifiedBy/>
  <cp:revision/>
  <dcterms:created xsi:type="dcterms:W3CDTF">2020-11-23T17:04:52Z</dcterms:created>
  <dcterms:modified xsi:type="dcterms:W3CDTF">2023-06-20T18:05:30Z</dcterms:modified>
  <cp:category/>
  <cp:contentStatus/>
</cp:coreProperties>
</file>