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ontanaedu-my.sharepoint.com/personal/p81q493_msu_montana_edu/Documents/"/>
    </mc:Choice>
  </mc:AlternateContent>
  <xr:revisionPtr revIDLastSave="2" documentId="8_{67F8777B-A71D-4BD1-9F1C-B808722B8A83}" xr6:coauthVersionLast="47" xr6:coauthVersionMax="47" xr10:uidLastSave="{1A244894-9854-4912-A165-99FC5F0BE999}"/>
  <workbookProtection workbookAlgorithmName="SHA-512" workbookHashValue="k27qNmMLZZEmTxbTDBh090CLngnvk+sbXKpKrfLxUWKm3wFk4hFt2VclC20amI1KkpASR4tyLcwaZIzXBsjeUQ==" workbookSaltValue="c6BFowqosjqT4WC1XDOOfw==" workbookSpinCount="100000" lockStructure="1"/>
  <bookViews>
    <workbookView xWindow="3645" yWindow="1290" windowWidth="21600" windowHeight="14415" xr2:uid="{2A3803DB-3E1C-4D81-944D-8C9FDCF6E1DB}"/>
  </bookViews>
  <sheets>
    <sheet name="Student" sheetId="1" r:id="rId1"/>
    <sheet name="Sheet 1" sheetId="4" state="hidden" r:id="rId2"/>
    <sheet name="Lists" sheetId="3" state="hidden" r:id="rId3"/>
  </sheets>
  <definedNames>
    <definedName name="_xlnm.Print_Area" localSheetId="0">Student!$A$1:$V$51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D28" i="1" l="1"/>
  <c r="D33" i="1"/>
  <c r="A106" i="3"/>
  <c r="B33" i="3"/>
  <c r="B34" i="3"/>
  <c r="B35" i="3"/>
  <c r="B36" i="3"/>
  <c r="B37" i="3"/>
  <c r="B38" i="3"/>
  <c r="B39" i="3"/>
  <c r="B40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7" i="3"/>
  <c r="C34" i="3"/>
  <c r="C35" i="3"/>
  <c r="C36" i="3"/>
  <c r="C37" i="3"/>
  <c r="C38" i="3"/>
  <c r="C39" i="3"/>
  <c r="C40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44" i="3"/>
  <c r="C45" i="3"/>
  <c r="C46" i="3"/>
  <c r="C47" i="3"/>
  <c r="C48" i="3"/>
  <c r="C49" i="3"/>
  <c r="C50" i="3"/>
  <c r="C51" i="3"/>
  <c r="C52" i="3"/>
  <c r="C53" i="3"/>
  <c r="C54" i="3"/>
  <c r="C55" i="3"/>
  <c r="C7" i="3"/>
  <c r="B94" i="3"/>
  <c r="L59" i="3"/>
  <c r="B88" i="3"/>
  <c r="C87" i="3"/>
  <c r="D87" i="3" s="1"/>
  <c r="E87" i="3" s="1"/>
  <c r="F87" i="3" s="1"/>
  <c r="C88" i="3"/>
  <c r="D88" i="3" s="1"/>
  <c r="E88" i="3" s="1"/>
  <c r="F88" i="3" s="1"/>
  <c r="B87" i="3" l="1"/>
  <c r="B55" i="3"/>
  <c r="B51" i="3"/>
  <c r="B52" i="3"/>
  <c r="B53" i="3"/>
  <c r="B54" i="3"/>
  <c r="C83" i="3" l="1"/>
  <c r="C82" i="3"/>
  <c r="C81" i="3"/>
  <c r="C80" i="3"/>
  <c r="C79" i="3"/>
  <c r="B83" i="3"/>
  <c r="B82" i="3"/>
  <c r="B81" i="3"/>
  <c r="B80" i="3"/>
  <c r="B79" i="3"/>
  <c r="N5" i="1" l="1"/>
  <c r="F105" i="3" l="1"/>
  <c r="E105" i="3"/>
  <c r="D105" i="3"/>
  <c r="C105" i="3"/>
  <c r="B105" i="3"/>
  <c r="B104" i="3"/>
  <c r="B103" i="3"/>
  <c r="F28" i="1" l="1"/>
  <c r="C102" i="3" l="1"/>
  <c r="D102" i="3" s="1"/>
  <c r="E102" i="3" s="1"/>
  <c r="F102" i="3" s="1"/>
  <c r="C101" i="3"/>
  <c r="D101" i="3" s="1"/>
  <c r="E101" i="3" s="1"/>
  <c r="R43" i="1"/>
  <c r="R48" i="1"/>
  <c r="R38" i="1"/>
  <c r="R33" i="1"/>
  <c r="R28" i="1"/>
  <c r="P48" i="1"/>
  <c r="P43" i="1"/>
  <c r="P38" i="1"/>
  <c r="P33" i="1"/>
  <c r="P28" i="1"/>
  <c r="F98" i="3"/>
  <c r="E98" i="3"/>
  <c r="D98" i="3"/>
  <c r="C98" i="3"/>
  <c r="B98" i="3"/>
  <c r="F91" i="3"/>
  <c r="E91" i="3"/>
  <c r="D91" i="3"/>
  <c r="C91" i="3"/>
  <c r="B91" i="3"/>
  <c r="L70" i="3"/>
  <c r="L69" i="3"/>
  <c r="L68" i="3"/>
  <c r="L67" i="3"/>
  <c r="L66" i="3"/>
  <c r="L65" i="3"/>
  <c r="L64" i="3"/>
  <c r="L63" i="3"/>
  <c r="L62" i="3"/>
  <c r="L61" i="3"/>
  <c r="L60" i="3"/>
  <c r="B89" i="3"/>
  <c r="C89" i="3" s="1"/>
  <c r="D89" i="3" s="1"/>
  <c r="E89" i="3" s="1"/>
  <c r="F89" i="3" s="1"/>
  <c r="D48" i="1"/>
  <c r="F48" i="1" s="1"/>
  <c r="D47" i="1"/>
  <c r="F47" i="1" s="1"/>
  <c r="D43" i="1"/>
  <c r="F43" i="1" s="1"/>
  <c r="D42" i="1"/>
  <c r="F42" i="1" s="1"/>
  <c r="D38" i="1"/>
  <c r="F38" i="1" s="1"/>
  <c r="D37" i="1"/>
  <c r="F33" i="1"/>
  <c r="D27" i="1"/>
  <c r="C104" i="3"/>
  <c r="D104" i="3" s="1"/>
  <c r="E104" i="3" s="1"/>
  <c r="F104" i="3" s="1"/>
  <c r="C103" i="3"/>
  <c r="D103" i="3" s="1"/>
  <c r="E103" i="3" s="1"/>
  <c r="F103" i="3" s="1"/>
  <c r="B86" i="3"/>
  <c r="C86" i="3" s="1"/>
  <c r="D86" i="3" s="1"/>
  <c r="E86" i="3" s="1"/>
  <c r="F86" i="3" s="1"/>
  <c r="B96" i="3" l="1"/>
  <c r="C96" i="3" s="1"/>
  <c r="D96" i="3" s="1"/>
  <c r="E96" i="3" s="1"/>
  <c r="F96" i="3" s="1"/>
  <c r="C94" i="3"/>
  <c r="D94" i="3" s="1"/>
  <c r="E94" i="3" s="1"/>
  <c r="F94" i="3" s="1"/>
  <c r="B95" i="3"/>
  <c r="C95" i="3" s="1"/>
  <c r="D95" i="3" s="1"/>
  <c r="E95" i="3" s="1"/>
  <c r="F95" i="3" s="1"/>
  <c r="B97" i="3"/>
  <c r="C97" i="3" s="1"/>
  <c r="D97" i="3" s="1"/>
  <c r="E97" i="3" s="1"/>
  <c r="F97" i="3" s="1"/>
  <c r="F37" i="1"/>
  <c r="H2" i="3"/>
  <c r="F27" i="1"/>
  <c r="F4" i="3"/>
  <c r="F2" i="3"/>
  <c r="F3" i="3"/>
  <c r="H4" i="3"/>
  <c r="H3" i="3"/>
  <c r="I4" i="3"/>
  <c r="I3" i="3"/>
  <c r="I2" i="3"/>
  <c r="J4" i="3"/>
  <c r="J3" i="3"/>
  <c r="J2" i="3"/>
  <c r="H27" i="1" a="1"/>
  <c r="H27" i="1" s="1"/>
  <c r="F101" i="3"/>
  <c r="D32" i="1"/>
  <c r="B90" i="3"/>
  <c r="C90" i="3" s="1"/>
  <c r="D90" i="3" s="1"/>
  <c r="E90" i="3" s="1"/>
  <c r="F90" i="3" s="1"/>
  <c r="T48" i="1"/>
  <c r="F32" i="1" l="1"/>
  <c r="G3" i="3"/>
  <c r="G2" i="3"/>
  <c r="P47" i="1"/>
  <c r="P49" i="1" s="1"/>
  <c r="R27" i="1"/>
  <c r="P27" i="1"/>
  <c r="G4" i="3"/>
  <c r="P37" i="1"/>
  <c r="R32" i="1"/>
  <c r="P42" i="1"/>
  <c r="R37" i="1"/>
  <c r="R47" i="1"/>
  <c r="P32" i="1"/>
  <c r="R42" i="1"/>
  <c r="H37" i="1" a="1"/>
  <c r="H37" i="1" s="1"/>
  <c r="H47" i="1" a="1"/>
  <c r="H47" i="1" s="1"/>
  <c r="H42" i="1" a="1"/>
  <c r="H42" i="1" s="1"/>
  <c r="L27" i="1"/>
  <c r="T33" i="1"/>
  <c r="T38" i="1"/>
  <c r="T43" i="1"/>
  <c r="T28" i="1"/>
  <c r="T27" i="1" l="1"/>
  <c r="T32" i="1"/>
  <c r="H32" i="1" a="1"/>
  <c r="H32" i="1" s="1"/>
  <c r="T37" i="1"/>
  <c r="R29" i="1"/>
  <c r="T47" i="1"/>
  <c r="T42" i="1" l="1"/>
  <c r="R49" i="1" l="1"/>
  <c r="T49" i="1" s="1"/>
  <c r="P44" i="1"/>
  <c r="R44" i="1"/>
  <c r="P39" i="1"/>
  <c r="R39" i="1"/>
  <c r="P34" i="1"/>
  <c r="R34" i="1"/>
  <c r="P29" i="1"/>
  <c r="T29" i="1" s="1"/>
  <c r="T34" i="1" l="1"/>
  <c r="T39" i="1"/>
  <c r="T44" i="1"/>
  <c r="D44" i="1"/>
  <c r="D34" i="1"/>
  <c r="D39" i="1"/>
  <c r="D29" i="1"/>
  <c r="D49" i="1"/>
  <c r="L43" i="1" l="1"/>
  <c r="N43" i="1" s="1"/>
  <c r="L38" i="1"/>
  <c r="N38" i="1" s="1"/>
  <c r="L48" i="1"/>
  <c r="N48" i="1" s="1"/>
  <c r="H44" i="1"/>
  <c r="H39" i="1"/>
  <c r="H49" i="1"/>
  <c r="L28" i="1"/>
  <c r="N28" i="1" s="1"/>
  <c r="L47" i="1"/>
  <c r="F29" i="1"/>
  <c r="H34" i="1"/>
  <c r="L33" i="1"/>
  <c r="N33" i="1" s="1"/>
  <c r="H29" i="1"/>
  <c r="F34" i="1"/>
  <c r="F39" i="1"/>
  <c r="L32" i="1"/>
  <c r="F49" i="1"/>
  <c r="F44" i="1"/>
  <c r="L42" i="1"/>
  <c r="N42" i="1" s="1"/>
  <c r="L37" i="1"/>
  <c r="N27" i="1"/>
  <c r="N44" i="1" l="1"/>
  <c r="L49" i="1"/>
  <c r="N29" i="1"/>
  <c r="N47" i="1"/>
  <c r="N49" i="1" s="1"/>
  <c r="L34" i="1"/>
  <c r="N32" i="1"/>
  <c r="N34" i="1" s="1"/>
  <c r="L44" i="1"/>
  <c r="L29" i="1"/>
  <c r="L39" i="1"/>
  <c r="N37" i="1"/>
  <c r="N3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Buker, Tracy</author>
  </authors>
  <commentList>
    <comment ref="C5" authorId="0" shapeId="0" xr:uid="{3E7C2BBA-FEA8-4A52-8E32-FA513DDFC34A}">
      <text>
        <r>
          <rPr>
            <sz val="9"/>
            <color indexed="81"/>
            <rFont val="Tahoma"/>
            <family val="2"/>
          </rPr>
          <t>The monthly salary cannot be lower than the amount in the bargaining agreement, i.e. https://mus.edu/hr/cba/024-CBA.pdf of $663/month for a 19-hour appointment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<sst xmlns="http://schemas.openxmlformats.org/spreadsheetml/2006/main" count="257" uniqueCount="134">
  <si>
    <t>Name:</t>
  </si>
  <si>
    <t>Department:</t>
  </si>
  <si>
    <r>
      <rPr>
        <i/>
        <sz val="11"/>
        <color theme="1"/>
        <rFont val="Calibri"/>
        <family val="2"/>
        <scheme val="minor"/>
      </rPr>
      <t>Minimum</t>
    </r>
    <r>
      <rPr>
        <sz val="11"/>
        <color theme="1"/>
        <rFont val="Calibri"/>
        <family val="2"/>
        <scheme val="minor"/>
      </rPr>
      <t xml:space="preserve"> Department Monthly Salary:</t>
    </r>
  </si>
  <si>
    <t>Monthly salary:</t>
  </si>
  <si>
    <t>Annual Rate:</t>
  </si>
  <si>
    <t>Period of Support*:</t>
  </si>
  <si>
    <t>Manual Entry:</t>
  </si>
  <si>
    <t>Academic</t>
  </si>
  <si>
    <t>Summer</t>
  </si>
  <si>
    <t>Fall</t>
  </si>
  <si>
    <t>Spring</t>
  </si>
  <si>
    <t xml:space="preserve">Use this section to manually calculate salary and tuition &amp; fees, by completing calendar to the right and credits per semester. </t>
  </si>
  <si>
    <t>Effort</t>
  </si>
  <si>
    <t>Aug</t>
  </si>
  <si>
    <t>Sept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</si>
  <si>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</si>
  <si>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</si>
  <si>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</si>
  <si>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</si>
  <si>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</si>
  <si>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</si>
  <si>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</si>
  <si>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</si>
  <si>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</si>
  <si>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</si>
  <si>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Year 1</t>
  </si>
  <si>
    <t>Y= Yes supported</t>
  </si>
  <si>
    <t>Year 2</t>
  </si>
  <si>
    <t>N or blank = no support</t>
  </si>
  <si>
    <t>Year 3</t>
  </si>
  <si>
    <t>Year 4</t>
  </si>
  <si>
    <t>Year 5</t>
  </si>
  <si>
    <t>Credits per Fall Semester:</t>
  </si>
  <si>
    <t>Credits per Spring Semester:</t>
  </si>
  <si>
    <t>Credits per Summer Semester (if applicable):</t>
  </si>
  <si>
    <r>
      <rPr>
        <b/>
        <u/>
        <sz val="11"/>
        <color theme="1"/>
        <rFont val="Calibri"/>
        <family val="2"/>
        <scheme val="minor"/>
      </rPr>
      <t>CBA Additional Payment</t>
    </r>
    <r>
      <rPr>
        <b/>
        <sz val="11"/>
        <color theme="1"/>
        <rFont val="Calibri"/>
        <family val="2"/>
        <scheme val="minor"/>
      </rPr>
      <t xml:space="preserve">
Will this support be for a first year Grad student?</t>
    </r>
  </si>
  <si>
    <t>Does grant allow (2%) COLA?</t>
  </si>
  <si>
    <t>Budget Calculator:</t>
  </si>
  <si>
    <t># Months of support</t>
  </si>
  <si>
    <t>Salary</t>
  </si>
  <si>
    <t>CBA Additional Payment</t>
  </si>
  <si>
    <t>Total Salary</t>
  </si>
  <si>
    <t>Fringe Benefits</t>
  </si>
  <si>
    <t>Tuition</t>
  </si>
  <si>
    <t>Fees</t>
  </si>
  <si>
    <t>Total  Tuition &amp; Fees (Awards)</t>
  </si>
  <si>
    <t>Academic Months (Aug - May)</t>
  </si>
  <si>
    <t>Summer Months (June- July)</t>
  </si>
  <si>
    <t>Year 1 Total</t>
  </si>
  <si>
    <t xml:space="preserve">Year 2  </t>
  </si>
  <si>
    <t>Year 2 Total</t>
  </si>
  <si>
    <t>Year 3 Total</t>
  </si>
  <si>
    <t>Year 4 Total</t>
  </si>
  <si>
    <t>Year 5 Total</t>
  </si>
  <si>
    <t>Y</t>
  </si>
  <si>
    <t>Yes</t>
  </si>
  <si>
    <t>N</t>
  </si>
  <si>
    <t>No, student is in second Year</t>
  </si>
  <si>
    <t>No, student is in third year or later</t>
  </si>
  <si>
    <t> Dept</t>
  </si>
  <si>
    <t xml:space="preserve">Potential 1-month stipend = </t>
  </si>
  <si>
    <t>Annual Stipend</t>
  </si>
  <si>
    <t>Credits</t>
  </si>
  <si>
    <t>Fees (sum table below + non-resident building fee)</t>
  </si>
  <si>
    <r>
      <rPr>
        <b/>
        <sz val="11"/>
        <color rgb="FF000000"/>
        <rFont val="Arial"/>
        <family val="2"/>
      </rPr>
      <t>Non- Resident Building Fee</t>
    </r>
    <r>
      <rPr>
        <sz val="11"/>
        <color indexed="8"/>
        <rFont val="Arial"/>
        <family val="2"/>
      </rPr>
      <t xml:space="preserve">
</t>
    </r>
  </si>
  <si>
    <t>12+</t>
  </si>
  <si>
    <t>Schedule of Fees</t>
  </si>
  <si>
    <t>Registration Fee</t>
  </si>
  <si>
    <t>Building Fee</t>
  </si>
  <si>
    <t>SFEP Fee</t>
  </si>
  <si>
    <t>Computer Fee</t>
  </si>
  <si>
    <t>ASMSU Fee</t>
  </si>
  <si>
    <t>Health/ Dental Fee</t>
  </si>
  <si>
    <t>SU Fee</t>
  </si>
  <si>
    <t>Equipment Fee</t>
  </si>
  <si>
    <t>Information Technology Fee</t>
  </si>
  <si>
    <t>Athletic Fee</t>
  </si>
  <si>
    <t>Total</t>
  </si>
  <si>
    <t>Academic Months</t>
  </si>
  <si>
    <t>Summer Months</t>
  </si>
  <si>
    <t>Summer Semester Only</t>
  </si>
  <si>
    <t>One Semester Only</t>
  </si>
  <si>
    <t>One Semester and Summer</t>
  </si>
  <si>
    <t>Full Academic Year</t>
  </si>
  <si>
    <t>Full Calendar Year</t>
  </si>
  <si>
    <t>Manual</t>
  </si>
  <si>
    <t>Manual Year 1</t>
  </si>
  <si>
    <t>Manual Year 2</t>
  </si>
  <si>
    <t>Manual Year 3</t>
  </si>
  <si>
    <t>Manual Year 4</t>
  </si>
  <si>
    <t>Manual Year 5</t>
  </si>
  <si>
    <t xml:space="preserve">Year 1 </t>
  </si>
  <si>
    <t xml:space="preserve">Year 2 </t>
  </si>
  <si>
    <t>Health Insurance Fee</t>
  </si>
  <si>
    <t>Science Education</t>
  </si>
  <si>
    <t>Agricultural Econ &amp; Econ</t>
  </si>
  <si>
    <t>Agricultural Education</t>
  </si>
  <si>
    <t>American Studies</t>
  </si>
  <si>
    <t>Animal &amp; Range Sciences</t>
  </si>
  <si>
    <t>Business</t>
  </si>
  <si>
    <t>Cell Biology &amp; Neuroscience</t>
  </si>
  <si>
    <t>Chemical &amp; Biological Engr</t>
  </si>
  <si>
    <t>Chemistry &amp; Biochemistry</t>
  </si>
  <si>
    <t>Civil Engineering</t>
  </si>
  <si>
    <t>Computer Science</t>
  </si>
  <si>
    <t>Earth Sciences</t>
  </si>
  <si>
    <t>Ecology</t>
  </si>
  <si>
    <t>Education</t>
  </si>
  <si>
    <t>Electrical &amp; Computer Engr</t>
  </si>
  <si>
    <t>English</t>
  </si>
  <si>
    <t>Entomology</t>
  </si>
  <si>
    <t>Graduate Studies</t>
  </si>
  <si>
    <t>Health &amp; Human Development</t>
  </si>
  <si>
    <t>History &amp; Philosophy</t>
  </si>
  <si>
    <t>Land Resources &amp; Enviro Sci</t>
  </si>
  <si>
    <t>Mathematical Sciences</t>
  </si>
  <si>
    <t>Mechanical &amp; Industrial Engr</t>
  </si>
  <si>
    <t>Microbiology and Cell Biology</t>
  </si>
  <si>
    <t>Microbiology and Immunology</t>
  </si>
  <si>
    <t>Native American Studies</t>
  </si>
  <si>
    <t>Nursing</t>
  </si>
  <si>
    <t>Physics</t>
  </si>
  <si>
    <t>Plant Sciences/Plant Pathology</t>
  </si>
  <si>
    <t>Political Science</t>
  </si>
  <si>
    <t>Psychology</t>
  </si>
  <si>
    <t>School of Architecture</t>
  </si>
  <si>
    <t>School of Art</t>
  </si>
  <si>
    <t>School of Film &amp; Photography</t>
  </si>
  <si>
    <t>Academic Department</t>
  </si>
  <si>
    <t>Avg</t>
  </si>
  <si>
    <t>Pay annual Health Insurance Fee ($4,620)?</t>
  </si>
  <si>
    <t>Fees
(non-resident)</t>
  </si>
  <si>
    <t xml:space="preserve">  budget tuition and fees for a different number of credits per semester.</t>
  </si>
  <si>
    <t xml:space="preserve">*Each selection assumes 6 credits per academic semester. Select Manual 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</si>
</sst>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###0.00;###0.00"/>
    <numFmt numFmtId="166" formatCode="#,##0.00;#,##0.00"/>
    <numFmt numFmtId="167" formatCode="###0;###0"/>
    <numFmt numFmtId="168" formatCode="&quot;$&quot;#,##0"/>
    <numFmt numFmtId="169" formatCode="&quot;$&quot;#,##0;\(&quot;$&quot;#,##0\)"/>
    <numFmt numFmtId="170" formatCode="&quot;$&quot;#,##0.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Times New Roman"/>
      <family val="1"/>
      <charset val="204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rgb="FF666666"/>
      <name val="Arial"/>
      <family val="2"/>
    </font>
    <font>
      <sz val="11"/>
      <color rgb="FF333333"/>
      <name val="Arial"/>
      <family val="2"/>
    </font>
    <font>
      <sz val="11"/>
      <name val="Calibri"/>
      <family val="2"/>
    </font>
    <font>
      <b/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</cellStyleXfs>
  <cellXfs count="121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44" fontId="2" fillId="0" borderId="0" xfId="0" applyNumberFormat="1" applyFont="1"/>
    <xf numFmtId="44" fontId="0" fillId="0" borderId="0" xfId="0" applyNumberFormat="1"/>
    <xf numFmtId="0" fontId="0" fillId="5" borderId="0" xfId="0" applyFill="1"/>
    <xf numFmtId="0" fontId="2" fillId="5" borderId="0" xfId="0" applyFont="1" applyFill="1" applyAlignment="1">
      <alignment wrapText="1"/>
    </xf>
    <xf numFmtId="0" fontId="0" fillId="5" borderId="0" xfId="0" applyFill="1" applyAlignment="1">
      <alignment wrapText="1"/>
    </xf>
    <xf numFmtId="0" fontId="2" fillId="5" borderId="0" xfId="0" applyFont="1" applyFill="1"/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1" xfId="0" applyFill="1" applyBorder="1"/>
    <xf numFmtId="0" fontId="0" fillId="2" borderId="1" xfId="0" applyFill="1" applyBorder="1"/>
    <xf numFmtId="0" fontId="0" fillId="0" borderId="0" xfId="0" applyAlignment="1">
      <alignment horizontal="left" vertical="top"/>
    </xf>
    <xf numFmtId="0" fontId="0" fillId="4" borderId="0" xfId="0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10" fillId="0" borderId="0" xfId="0" applyFont="1" applyAlignment="1">
      <alignment vertical="center" wrapText="1"/>
    </xf>
    <xf numFmtId="44" fontId="10" fillId="4" borderId="0" xfId="1" applyFont="1" applyFill="1" applyBorder="1" applyAlignment="1" applyProtection="1">
      <alignment vertical="center" wrapText="1"/>
    </xf>
    <xf numFmtId="44" fontId="6" fillId="0" borderId="0" xfId="1" applyFont="1" applyBorder="1" applyAlignment="1" applyProtection="1">
      <alignment horizontal="left" vertical="top"/>
    </xf>
    <xf numFmtId="0" fontId="7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6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43" fontId="5" fillId="4" borderId="0" xfId="1" applyNumberFormat="1" applyFont="1" applyFill="1" applyBorder="1" applyAlignment="1" applyProtection="1">
      <alignment horizontal="right" vertical="top" wrapText="1"/>
    </xf>
    <xf numFmtId="43" fontId="5" fillId="0" borderId="0" xfId="1" applyNumberFormat="1" applyFont="1" applyFill="1" applyBorder="1" applyAlignment="1" applyProtection="1">
      <alignment horizontal="right" vertical="top" wrapText="1"/>
    </xf>
    <xf numFmtId="43" fontId="5" fillId="6" borderId="0" xfId="1" applyNumberFormat="1" applyFont="1" applyFill="1" applyBorder="1" applyAlignment="1" applyProtection="1">
      <alignment horizontal="right" vertical="top" wrapText="1"/>
    </xf>
    <xf numFmtId="165" fontId="5" fillId="0" borderId="0" xfId="0" applyNumberFormat="1" applyFont="1" applyAlignment="1">
      <alignment horizontal="left" vertical="top" wrapText="1"/>
    </xf>
    <xf numFmtId="43" fontId="7" fillId="0" borderId="0" xfId="0" applyNumberFormat="1" applyFont="1" applyAlignment="1">
      <alignment horizontal="left" vertical="top" wrapText="1"/>
    </xf>
    <xf numFmtId="43" fontId="4" fillId="0" borderId="0" xfId="0" applyNumberFormat="1" applyFont="1" applyAlignment="1">
      <alignment horizontal="left" vertical="top" wrapText="1"/>
    </xf>
    <xf numFmtId="166" fontId="5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167" fontId="5" fillId="0" borderId="0" xfId="0" applyNumberFormat="1" applyFont="1" applyAlignment="1">
      <alignment horizontal="center" vertical="top" wrapText="1"/>
    </xf>
    <xf numFmtId="43" fontId="0" fillId="0" borderId="0" xfId="0" applyNumberFormat="1" applyAlignment="1">
      <alignment horizontal="left" vertical="top"/>
    </xf>
    <xf numFmtId="0" fontId="5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right" vertical="top"/>
    </xf>
    <xf numFmtId="1" fontId="0" fillId="0" borderId="0" xfId="0" applyNumberFormat="1" applyAlignment="1">
      <alignment horizontal="right" vertical="top"/>
    </xf>
    <xf numFmtId="0" fontId="0" fillId="5" borderId="0" xfId="0" applyFill="1" applyAlignment="1">
      <alignment horizontal="left"/>
    </xf>
    <xf numFmtId="164" fontId="0" fillId="5" borderId="0" xfId="1" applyNumberFormat="1" applyFont="1" applyFill="1" applyBorder="1" applyAlignment="1"/>
    <xf numFmtId="0" fontId="0" fillId="8" borderId="0" xfId="0" applyFill="1" applyAlignment="1">
      <alignment horizontal="left" vertical="top"/>
    </xf>
    <xf numFmtId="0" fontId="0" fillId="9" borderId="0" xfId="0" applyFill="1"/>
    <xf numFmtId="0" fontId="0" fillId="9" borderId="0" xfId="0" applyFill="1" applyAlignment="1">
      <alignment horizontal="left"/>
    </xf>
    <xf numFmtId="0" fontId="2" fillId="9" borderId="0" xfId="0" applyFont="1" applyFill="1" applyAlignment="1">
      <alignment horizontal="center"/>
    </xf>
    <xf numFmtId="0" fontId="14" fillId="5" borderId="0" xfId="0" applyFont="1" applyFill="1"/>
    <xf numFmtId="0" fontId="0" fillId="5" borderId="1" xfId="0" applyFill="1" applyBorder="1"/>
    <xf numFmtId="9" fontId="0" fillId="5" borderId="3" xfId="2" applyFont="1" applyFill="1" applyBorder="1" applyProtection="1">
      <protection locked="0"/>
    </xf>
    <xf numFmtId="0" fontId="2" fillId="9" borderId="6" xfId="0" applyFont="1" applyFill="1" applyBorder="1" applyAlignment="1">
      <alignment horizontal="right"/>
    </xf>
    <xf numFmtId="0" fontId="0" fillId="9" borderId="0" xfId="0" applyFill="1" applyProtection="1">
      <protection locked="0"/>
    </xf>
    <xf numFmtId="0" fontId="0" fillId="9" borderId="0" xfId="0" applyFill="1" applyAlignment="1">
      <alignment horizontal="right"/>
    </xf>
    <xf numFmtId="0" fontId="17" fillId="0" borderId="0" xfId="0" applyFont="1" applyAlignment="1">
      <alignment horizontal="left" vertical="top"/>
    </xf>
    <xf numFmtId="168" fontId="18" fillId="0" borderId="0" xfId="0" applyNumberFormat="1" applyFont="1" applyAlignment="1">
      <alignment vertical="center"/>
    </xf>
    <xf numFmtId="0" fontId="19" fillId="0" borderId="0" xfId="3"/>
    <xf numFmtId="168" fontId="19" fillId="0" borderId="0" xfId="3" applyNumberFormat="1"/>
    <xf numFmtId="169" fontId="18" fillId="0" borderId="0" xfId="3" applyNumberFormat="1" applyFont="1" applyAlignment="1">
      <alignment vertical="center"/>
    </xf>
    <xf numFmtId="168" fontId="18" fillId="0" borderId="0" xfId="3" applyNumberFormat="1" applyFont="1" applyAlignment="1">
      <alignment vertical="center"/>
    </xf>
    <xf numFmtId="0" fontId="17" fillId="0" borderId="0" xfId="3" applyFont="1" applyAlignment="1">
      <alignment horizontal="left" vertical="top"/>
    </xf>
    <xf numFmtId="170" fontId="19" fillId="0" borderId="0" xfId="3" applyNumberFormat="1"/>
    <xf numFmtId="0" fontId="17" fillId="0" borderId="0" xfId="3" applyFont="1" applyAlignment="1">
      <alignment horizontal="center"/>
    </xf>
    <xf numFmtId="168" fontId="17" fillId="0" borderId="0" xfId="3" applyNumberFormat="1" applyFont="1" applyAlignment="1">
      <alignment horizontal="center"/>
    </xf>
    <xf numFmtId="0" fontId="0" fillId="0" borderId="0" xfId="0" applyFill="1" applyAlignment="1">
      <alignment horizontal="right" vertical="top"/>
    </xf>
    <xf numFmtId="1" fontId="0" fillId="0" borderId="0" xfId="0" applyNumberFormat="1" applyFill="1" applyAlignment="1">
      <alignment horizontal="right" vertical="top"/>
    </xf>
    <xf numFmtId="0" fontId="0" fillId="0" borderId="0" xfId="0" applyFill="1" applyAlignment="1">
      <alignment horizontal="left" vertical="top"/>
    </xf>
    <xf numFmtId="168" fontId="0" fillId="0" borderId="1" xfId="1" applyNumberFormat="1" applyFont="1" applyFill="1" applyBorder="1" applyAlignment="1" applyProtection="1">
      <alignment horizontal="center" vertical="center"/>
      <protection locked="0"/>
    </xf>
    <xf numFmtId="0" fontId="15" fillId="9" borderId="0" xfId="0" applyFont="1" applyFill="1" applyAlignment="1">
      <alignment horizontal="left" vertical="top" wrapText="1" indent="2"/>
    </xf>
    <xf numFmtId="42" fontId="0" fillId="0" borderId="2" xfId="1" applyNumberFormat="1" applyFont="1" applyBorder="1" applyAlignment="1" applyProtection="1">
      <alignment horizontal="center" vertical="center" wrapText="1"/>
    </xf>
    <xf numFmtId="42" fontId="0" fillId="0" borderId="3" xfId="1" applyNumberFormat="1" applyFont="1" applyBorder="1" applyAlignment="1" applyProtection="1">
      <alignment horizontal="center" vertical="center" wrapText="1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 wrapText="1"/>
    </xf>
    <xf numFmtId="0" fontId="2" fillId="7" borderId="3" xfId="0" applyFont="1" applyFill="1" applyBorder="1" applyAlignment="1">
      <alignment horizont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42" fontId="2" fillId="0" borderId="2" xfId="0" applyNumberFormat="1" applyFont="1" applyBorder="1" applyAlignment="1">
      <alignment horizontal="center" wrapText="1"/>
    </xf>
    <xf numFmtId="42" fontId="2" fillId="0" borderId="3" xfId="0" applyNumberFormat="1" applyFont="1" applyBorder="1" applyAlignment="1">
      <alignment horizontal="center" wrapText="1"/>
    </xf>
    <xf numFmtId="42" fontId="0" fillId="0" borderId="2" xfId="0" applyNumberFormat="1" applyBorder="1" applyAlignment="1">
      <alignment horizontal="center" wrapText="1"/>
    </xf>
    <xf numFmtId="42" fontId="0" fillId="0" borderId="4" xfId="0" applyNumberFormat="1" applyBorder="1" applyAlignment="1">
      <alignment horizontal="center" wrapText="1"/>
    </xf>
    <xf numFmtId="42" fontId="0" fillId="0" borderId="3" xfId="0" applyNumberFormat="1" applyBorder="1" applyAlignment="1">
      <alignment horizontal="center" wrapText="1"/>
    </xf>
    <xf numFmtId="42" fontId="2" fillId="0" borderId="4" xfId="0" applyNumberFormat="1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42" fontId="0" fillId="0" borderId="1" xfId="0" applyNumberFormat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2" fontId="0" fillId="0" borderId="2" xfId="0" applyNumberFormat="1" applyBorder="1" applyAlignment="1">
      <alignment horizontal="center" vertical="center" wrapText="1"/>
    </xf>
    <xf numFmtId="42" fontId="0" fillId="0" borderId="3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42" fontId="2" fillId="0" borderId="2" xfId="1" applyNumberFormat="1" applyFont="1" applyBorder="1" applyAlignment="1" applyProtection="1">
      <alignment horizontal="center" wrapText="1"/>
    </xf>
    <xf numFmtId="42" fontId="2" fillId="0" borderId="3" xfId="1" applyNumberFormat="1" applyFont="1" applyBorder="1" applyAlignment="1" applyProtection="1">
      <alignment horizontal="center" wrapText="1"/>
    </xf>
    <xf numFmtId="164" fontId="0" fillId="0" borderId="0" xfId="1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8" fontId="0" fillId="5" borderId="0" xfId="1" applyNumberFormat="1" applyFont="1" applyFill="1" applyBorder="1" applyAlignment="1">
      <alignment horizontal="center"/>
    </xf>
    <xf numFmtId="0" fontId="0" fillId="9" borderId="7" xfId="0" applyFill="1" applyBorder="1" applyAlignment="1">
      <alignment horizontal="right"/>
    </xf>
    <xf numFmtId="0" fontId="0" fillId="9" borderId="6" xfId="0" applyFill="1" applyBorder="1" applyAlignment="1">
      <alignment horizontal="right"/>
    </xf>
    <xf numFmtId="0" fontId="20" fillId="5" borderId="0" xfId="0" applyFont="1" applyFill="1"/>
  </cellXfs>
  <cellStyles count="4">
    <cellStyle name="Currency" xfId="1" builtinId="4"/>
    <cellStyle name="Normal" xfId="0" builtinId="0"/>
    <cellStyle name="Normal 2" xfId="3" xr:uid="{FB6D905A-0B7C-4704-B644-F8921F94967F}"/>
    <cellStyle name="Percent" xfId="2" builtinId="5"/>
  </cellStyles>
  <dxfs count="26"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742CF-8516-40B0-BEA0-FE6BBC2E0F47}">
  <sheetPr codeName="Sheet1">
    <pageSetUpPr fitToPage="1"/>
  </sheetPr>
  <dimension ref="A1:Y51"/>
  <sheetViews>
    <sheetView tabSelected="1" zoomScaleNormal="100" workbookViewId="0">
      <selection activeCell="B30" sqref="B30:U30"/>
    </sheetView>
  </sheetViews>
  <sheetFormatPr defaultColWidth="0" defaultRowHeight="15" zeroHeight="1" x14ac:dyDescent="0.25"/>
  <cols>
    <col min="1" max="1" width="4.140625" style="6" customWidth="1"/>
    <col min="2" max="2" width="40.42578125" style="6" customWidth="1"/>
    <col min="3" max="3" width="6.7109375" style="6" customWidth="1"/>
    <col min="4" max="4" width="5.7109375" style="6" customWidth="1"/>
    <col min="5" max="5" width="4" style="6" customWidth="1"/>
    <col min="6" max="6" width="4.7109375" style="6" customWidth="1"/>
    <col min="7" max="7" width="4.28515625" style="6" customWidth="1"/>
    <col min="8" max="8" width="4.28515625" style="6" bestFit="1" customWidth="1"/>
    <col min="9" max="10" width="3.85546875" style="6" bestFit="1" customWidth="1"/>
    <col min="11" max="11" width="4.42578125" style="6" bestFit="1" customWidth="1"/>
    <col min="12" max="12" width="4.140625" style="6" bestFit="1" customWidth="1"/>
    <col min="13" max="13" width="4" style="6" customWidth="1"/>
    <col min="14" max="14" width="4" style="6" bestFit="1" customWidth="1"/>
    <col min="15" max="15" width="5" style="6" customWidth="1"/>
    <col min="16" max="16" width="3.85546875" style="6" bestFit="1" customWidth="1"/>
    <col min="17" max="17" width="4.28515625" style="6" bestFit="1" customWidth="1"/>
    <col min="18" max="18" width="4.28515625" style="6" customWidth="1"/>
    <col min="19" max="19" width="4.85546875" style="6" customWidth="1"/>
    <col min="20" max="20" width="7.28515625" style="6" customWidth="1"/>
    <col min="21" max="21" width="7.7109375" style="6" customWidth="1"/>
    <col min="22" max="22" width="4.7109375" style="6" customWidth="1"/>
    <col min="23" max="25" width="0" hidden="1" customWidth="1"/>
    <col min="26" max="16384" width="9.140625" hidden="1"/>
  </cols>
  <sheetData>
    <row r="1" spans="2:23" x14ac:dyDescent="0.25">
      <c r="B1" s="9"/>
    </row>
    <row r="2" spans="2:23" x14ac:dyDescent="0.25">
      <c r="B2" s="9" t="s">
        <v>0</v>
      </c>
      <c r="C2" s="112"/>
      <c r="D2" s="112"/>
      <c r="E2" s="112"/>
      <c r="F2" s="112"/>
      <c r="G2" s="112"/>
      <c r="H2" s="112"/>
      <c r="I2" s="112"/>
    </row>
    <row r="3" spans="2:23" x14ac:dyDescent="0.25">
      <c r="B3" s="9" t="s">
        <v>1</v>
      </c>
      <c r="C3" s="112"/>
      <c r="D3" s="112"/>
      <c r="E3" s="112"/>
      <c r="F3" s="112"/>
      <c r="G3" s="112"/>
      <c r="H3" s="112"/>
      <c r="I3" s="112"/>
    </row>
    <row r="4" spans="2:23" x14ac:dyDescent="0.25">
      <c r="B4" s="6" t="s">
        <v>2</v>
      </c>
      <c r="C4" s="115" t="e">
        <f>VLOOKUP(Student!C3,Lists!A7:C34,2,FALSE)</f>
        <v>#N/A</v>
      </c>
      <c r="D4" s="115"/>
      <c r="E4" s="115"/>
      <c r="F4" s="115"/>
      <c r="G4" s="115"/>
      <c r="H4" s="115"/>
      <c r="I4" s="115"/>
      <c r="Q4" s="50"/>
    </row>
    <row r="5" spans="2:23" x14ac:dyDescent="0.25">
      <c r="B5" s="9" t="s">
        <v>3</v>
      </c>
      <c r="C5" s="74"/>
      <c r="D5" s="74"/>
      <c r="E5" s="74"/>
      <c r="F5" s="74"/>
      <c r="G5" s="74"/>
      <c r="H5" s="74"/>
      <c r="I5" s="74"/>
      <c r="K5" s="6" t="s">
        <v>4</v>
      </c>
      <c r="N5" s="117">
        <f>C5*12</f>
        <v>0</v>
      </c>
      <c r="O5" s="117"/>
      <c r="P5" s="117"/>
      <c r="Q5" s="50"/>
    </row>
    <row r="6" spans="2:23" x14ac:dyDescent="0.25">
      <c r="B6" s="9" t="s">
        <v>5</v>
      </c>
      <c r="C6" s="112"/>
      <c r="D6" s="112"/>
      <c r="E6" s="112"/>
      <c r="F6" s="112"/>
      <c r="G6" s="112"/>
      <c r="H6" s="112"/>
      <c r="I6" s="112"/>
      <c r="K6" s="120" t="s">
        <v>133</v>
      </c>
      <c r="L6" s="55"/>
      <c r="M6" s="55"/>
      <c r="N6" s="55"/>
      <c r="O6" s="55"/>
      <c r="P6" s="55"/>
      <c r="Q6" s="55"/>
      <c r="R6" s="55"/>
      <c r="S6" s="55"/>
    </row>
    <row r="7" spans="2:23" x14ac:dyDescent="0.25">
      <c r="K7" s="120" t="s">
        <v>132</v>
      </c>
    </row>
    <row r="8" spans="2:23" x14ac:dyDescent="0.25">
      <c r="B8" s="54" t="s">
        <v>6</v>
      </c>
      <c r="C8" s="52"/>
      <c r="D8" s="52"/>
      <c r="E8" s="97" t="s">
        <v>7</v>
      </c>
      <c r="F8" s="98"/>
      <c r="G8" s="98"/>
      <c r="H8" s="98"/>
      <c r="I8" s="98"/>
      <c r="J8" s="98"/>
      <c r="K8" s="98"/>
      <c r="L8" s="98"/>
      <c r="M8" s="98"/>
      <c r="N8" s="99"/>
      <c r="O8" s="100" t="s">
        <v>8</v>
      </c>
      <c r="P8" s="101"/>
      <c r="Q8" s="52"/>
      <c r="R8" s="52"/>
      <c r="S8" s="52"/>
      <c r="T8" s="52"/>
      <c r="U8" s="52"/>
      <c r="W8" s="6"/>
    </row>
    <row r="9" spans="2:23" x14ac:dyDescent="0.25">
      <c r="B9" s="52"/>
      <c r="C9" s="52"/>
      <c r="D9" s="52"/>
      <c r="E9" s="97" t="s">
        <v>9</v>
      </c>
      <c r="F9" s="98"/>
      <c r="G9" s="98"/>
      <c r="H9" s="98"/>
      <c r="I9" s="98"/>
      <c r="J9" s="98" t="s">
        <v>10</v>
      </c>
      <c r="K9" s="98"/>
      <c r="L9" s="98"/>
      <c r="M9" s="98"/>
      <c r="N9" s="99"/>
      <c r="O9" s="12"/>
      <c r="P9" s="13"/>
      <c r="Q9" s="52"/>
      <c r="R9" s="52"/>
      <c r="S9" s="52"/>
      <c r="T9" s="52"/>
      <c r="U9" s="52"/>
      <c r="W9" s="6"/>
    </row>
    <row r="10" spans="2:23" x14ac:dyDescent="0.25">
      <c r="B10" s="75" t="s">
        <v>11</v>
      </c>
      <c r="C10" s="52"/>
      <c r="D10" s="56" t="s">
        <v>12</v>
      </c>
      <c r="E10" s="14" t="s">
        <v>13</v>
      </c>
      <c r="F10" s="14" t="s">
        <v>14</v>
      </c>
      <c r="G10" s="14" t="s">
        <v>15</v>
      </c>
      <c r="H10" s="14" t="s">
        <v>16</v>
      </c>
      <c r="I10" s="14" t="s">
        <v>17</v>
      </c>
      <c r="J10" s="14" t="s">
        <v>18</v>
      </c>
      <c r="K10" s="14" t="s">
        <v>19</v>
      </c>
      <c r="L10" s="14" t="s">
        <v>20</v>
      </c>
      <c r="M10" s="14" t="s">
        <v>21</v>
      </c>
      <c r="N10" s="14" t="s">
        <v>22</v>
      </c>
      <c r="O10" s="15" t="s">
        <v>23</v>
      </c>
      <c r="P10" s="15" t="s">
        <v>24</v>
      </c>
      <c r="Q10" s="52"/>
      <c r="R10" s="52"/>
      <c r="S10" s="52"/>
      <c r="T10" s="52"/>
      <c r="U10" s="52"/>
      <c r="W10" s="6"/>
    </row>
    <row r="11" spans="2:23" x14ac:dyDescent="0.25">
      <c r="B11" s="75"/>
      <c r="C11" s="58" t="s">
        <v>25</v>
      </c>
      <c r="D11" s="57">
        <v>1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52"/>
      <c r="R11" s="52" t="s">
        <v>26</v>
      </c>
      <c r="S11" s="52"/>
      <c r="T11" s="52"/>
      <c r="U11" s="52"/>
      <c r="W11" s="6"/>
    </row>
    <row r="12" spans="2:23" x14ac:dyDescent="0.25">
      <c r="B12" s="75"/>
      <c r="C12" s="58" t="s">
        <v>27</v>
      </c>
      <c r="D12" s="57">
        <v>1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52"/>
      <c r="R12" s="52" t="s">
        <v>28</v>
      </c>
      <c r="S12" s="52"/>
      <c r="T12" s="52"/>
      <c r="U12" s="52"/>
      <c r="W12" s="6"/>
    </row>
    <row r="13" spans="2:23" x14ac:dyDescent="0.25">
      <c r="B13" s="75"/>
      <c r="C13" s="58" t="s">
        <v>29</v>
      </c>
      <c r="D13" s="57">
        <v>1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52"/>
      <c r="R13" s="52"/>
      <c r="S13" s="52"/>
      <c r="T13" s="52"/>
      <c r="U13" s="52"/>
      <c r="W13" s="6"/>
    </row>
    <row r="14" spans="2:23" x14ac:dyDescent="0.25">
      <c r="B14" s="75"/>
      <c r="C14" s="58" t="s">
        <v>30</v>
      </c>
      <c r="D14" s="57">
        <v>1</v>
      </c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52"/>
      <c r="R14" s="52"/>
      <c r="S14" s="52"/>
      <c r="T14" s="52"/>
      <c r="U14" s="52"/>
      <c r="W14" s="6"/>
    </row>
    <row r="15" spans="2:23" x14ac:dyDescent="0.25">
      <c r="B15" s="52"/>
      <c r="C15" s="58" t="s">
        <v>31</v>
      </c>
      <c r="D15" s="57">
        <v>1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52"/>
      <c r="R15" s="52"/>
      <c r="S15" s="52"/>
      <c r="T15" s="52"/>
      <c r="U15" s="52"/>
      <c r="W15" s="6"/>
    </row>
    <row r="16" spans="2:23" x14ac:dyDescent="0.25">
      <c r="B16" s="52"/>
      <c r="C16" s="53"/>
      <c r="D16" s="53"/>
      <c r="E16" s="53"/>
      <c r="F16" s="53"/>
      <c r="G16" s="53"/>
      <c r="H16" s="53"/>
      <c r="I16" s="53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</row>
    <row r="17" spans="1:25" x14ac:dyDescent="0.25">
      <c r="B17" s="52" t="s">
        <v>32</v>
      </c>
      <c r="C17" s="60" t="s">
        <v>25</v>
      </c>
      <c r="D17" s="11"/>
      <c r="E17" s="118" t="s">
        <v>27</v>
      </c>
      <c r="F17" s="119"/>
      <c r="G17" s="10"/>
      <c r="H17" s="118" t="s">
        <v>29</v>
      </c>
      <c r="I17" s="119"/>
      <c r="J17" s="10"/>
      <c r="K17" s="118" t="s">
        <v>29</v>
      </c>
      <c r="L17" s="119"/>
      <c r="M17" s="10"/>
      <c r="N17" s="118" t="s">
        <v>31</v>
      </c>
      <c r="O17" s="119"/>
      <c r="P17" s="10"/>
      <c r="Q17" s="52"/>
      <c r="R17" s="52"/>
      <c r="S17" s="52"/>
      <c r="T17" s="52"/>
      <c r="U17" s="52"/>
    </row>
    <row r="18" spans="1:25" x14ac:dyDescent="0.25">
      <c r="B18" s="52" t="s">
        <v>33</v>
      </c>
      <c r="C18" s="60" t="s">
        <v>25</v>
      </c>
      <c r="D18" s="11"/>
      <c r="E18" s="118" t="s">
        <v>27</v>
      </c>
      <c r="F18" s="119"/>
      <c r="G18" s="10"/>
      <c r="H18" s="118" t="s">
        <v>29</v>
      </c>
      <c r="I18" s="119"/>
      <c r="J18" s="10"/>
      <c r="K18" s="118" t="s">
        <v>30</v>
      </c>
      <c r="L18" s="119"/>
      <c r="M18" s="10"/>
      <c r="N18" s="118" t="s">
        <v>31</v>
      </c>
      <c r="O18" s="119"/>
      <c r="P18" s="10"/>
      <c r="Q18" s="52"/>
      <c r="R18" s="52"/>
      <c r="S18" s="52"/>
      <c r="T18" s="52"/>
      <c r="U18" s="52"/>
    </row>
    <row r="19" spans="1:25" x14ac:dyDescent="0.25">
      <c r="B19" s="52" t="s">
        <v>34</v>
      </c>
      <c r="C19" s="60" t="s">
        <v>25</v>
      </c>
      <c r="D19" s="11"/>
      <c r="E19" s="118" t="s">
        <v>27</v>
      </c>
      <c r="F19" s="119"/>
      <c r="G19" s="10"/>
      <c r="H19" s="118" t="s">
        <v>29</v>
      </c>
      <c r="I19" s="119"/>
      <c r="J19" s="10"/>
      <c r="K19" s="118" t="s">
        <v>30</v>
      </c>
      <c r="L19" s="119"/>
      <c r="M19" s="10"/>
      <c r="N19" s="118" t="s">
        <v>31</v>
      </c>
      <c r="O19" s="119"/>
      <c r="P19" s="10"/>
      <c r="Q19" s="52"/>
      <c r="R19" s="52"/>
      <c r="S19" s="52"/>
      <c r="T19" s="52"/>
      <c r="U19" s="52"/>
    </row>
    <row r="20" spans="1:25" x14ac:dyDescent="0.25">
      <c r="B20" s="52"/>
      <c r="C20" s="53"/>
      <c r="D20" s="53"/>
      <c r="E20" s="53"/>
      <c r="F20" s="53"/>
      <c r="G20" s="52"/>
      <c r="H20" s="53"/>
      <c r="I20" s="53"/>
      <c r="J20" s="52"/>
      <c r="K20" s="53"/>
      <c r="L20" s="52"/>
      <c r="M20" s="52"/>
      <c r="N20" s="52"/>
      <c r="O20" s="52"/>
      <c r="P20" s="59"/>
      <c r="Q20" s="52"/>
      <c r="R20" s="52"/>
      <c r="S20" s="52"/>
      <c r="T20" s="52"/>
      <c r="U20" s="52"/>
    </row>
    <row r="21" spans="1:25" ht="45" x14ac:dyDescent="0.25">
      <c r="B21" s="7" t="s">
        <v>35</v>
      </c>
      <c r="C21" s="116" t="s">
        <v>57</v>
      </c>
      <c r="D21" s="116"/>
      <c r="E21" s="116"/>
      <c r="F21" s="116"/>
      <c r="G21" s="116"/>
      <c r="H21" s="116"/>
      <c r="I21" s="116"/>
    </row>
    <row r="22" spans="1:25" x14ac:dyDescent="0.25">
      <c r="B22" s="9" t="s">
        <v>36</v>
      </c>
      <c r="C22" s="111"/>
      <c r="D22" s="111"/>
      <c r="E22" s="111"/>
      <c r="F22" s="111"/>
      <c r="G22" s="111"/>
      <c r="H22" s="111"/>
      <c r="I22" s="111"/>
    </row>
    <row r="23" spans="1:25" x14ac:dyDescent="0.25">
      <c r="B23" s="9" t="s">
        <v>130</v>
      </c>
      <c r="C23" s="111"/>
      <c r="D23" s="111"/>
      <c r="E23" s="111"/>
      <c r="F23" s="111"/>
      <c r="G23" s="111"/>
      <c r="H23" s="111"/>
      <c r="I23" s="111"/>
    </row>
    <row r="24" spans="1:25" x14ac:dyDescent="0.25">
      <c r="C24" s="49"/>
      <c r="D24" s="49"/>
      <c r="E24" s="49"/>
      <c r="F24" s="49"/>
      <c r="G24" s="49"/>
      <c r="H24" s="49"/>
      <c r="I24" s="49"/>
    </row>
    <row r="25" spans="1:25" x14ac:dyDescent="0.25">
      <c r="B25" t="s">
        <v>37</v>
      </c>
    </row>
    <row r="26" spans="1:25" s="2" customFormat="1" ht="45" customHeight="1" x14ac:dyDescent="0.25">
      <c r="A26" s="7"/>
      <c r="B26" s="81" t="s">
        <v>25</v>
      </c>
      <c r="C26" s="82"/>
      <c r="D26" s="83" t="s">
        <v>38</v>
      </c>
      <c r="E26" s="84"/>
      <c r="F26" s="83" t="s">
        <v>39</v>
      </c>
      <c r="G26" s="84"/>
      <c r="H26" s="83" t="s">
        <v>40</v>
      </c>
      <c r="I26" s="85"/>
      <c r="J26" s="85"/>
      <c r="K26" s="84"/>
      <c r="L26" s="83" t="s">
        <v>41</v>
      </c>
      <c r="M26" s="84"/>
      <c r="N26" s="83" t="s">
        <v>42</v>
      </c>
      <c r="O26" s="84"/>
      <c r="P26" s="86" t="s">
        <v>43</v>
      </c>
      <c r="Q26" s="87"/>
      <c r="R26" s="86" t="s">
        <v>131</v>
      </c>
      <c r="S26" s="87"/>
      <c r="T26" s="86" t="s">
        <v>45</v>
      </c>
      <c r="U26" s="87"/>
      <c r="V26" s="7"/>
    </row>
    <row r="27" spans="1:25" s="3" customFormat="1" ht="15" customHeight="1" x14ac:dyDescent="0.25">
      <c r="A27" s="8"/>
      <c r="B27" s="94" t="s">
        <v>46</v>
      </c>
      <c r="C27" s="95"/>
      <c r="D27" s="94" t="e">
        <f>IF(C6="Manual",Lists!B79,VLOOKUP(C6,Lists!A73:C77,2,FALSE))</f>
        <v>#N/A</v>
      </c>
      <c r="E27" s="95"/>
      <c r="F27" s="90" t="e">
        <f>D27*C5</f>
        <v>#N/A</v>
      </c>
      <c r="G27" s="92"/>
      <c r="H27" s="90" t="e" cm="1">
        <f t="array" ref="H27">_xlfn.IFS(C21="Yes",Lists!F2,C21="No, student is in second year",Lists!F3,C21="No, student is in third year or later",Lists!F4)</f>
        <v>#N/A</v>
      </c>
      <c r="I27" s="91"/>
      <c r="J27" s="91"/>
      <c r="K27" s="92"/>
      <c r="L27" s="90" t="e">
        <f>F27+H27</f>
        <v>#N/A</v>
      </c>
      <c r="M27" s="92"/>
      <c r="N27" s="90" t="e">
        <f>L27*0.01</f>
        <v>#N/A</v>
      </c>
      <c r="O27" s="92"/>
      <c r="P27" s="109" t="e">
        <f>VLOOKUP(Student!C6,Lists!A86:F91,2,FALSE)</f>
        <v>#N/A</v>
      </c>
      <c r="Q27" s="110"/>
      <c r="R27" s="96" t="e">
        <f>VLOOKUP(C6,Lists!A93:F98,2,FALSE)+(IF(C23="Y",(VLOOKUP(C6,Lists!A100:F105,2,FALSE)),0))</f>
        <v>#N/A</v>
      </c>
      <c r="S27" s="96"/>
      <c r="T27" s="76" t="e">
        <f>(P27+R27)</f>
        <v>#N/A</v>
      </c>
      <c r="U27" s="77"/>
      <c r="V27" s="8"/>
    </row>
    <row r="28" spans="1:25" ht="16.5" customHeight="1" x14ac:dyDescent="0.25">
      <c r="B28" s="94" t="s">
        <v>47</v>
      </c>
      <c r="C28" s="95"/>
      <c r="D28" s="94" t="e">
        <f>IF(C6="Manual",Lists!C79,VLOOKUP(C6,Lists!A73:C77,3,FALSE))</f>
        <v>#N/A</v>
      </c>
      <c r="E28" s="95"/>
      <c r="F28" s="90" t="e">
        <f>D28*C5</f>
        <v>#N/A</v>
      </c>
      <c r="G28" s="92"/>
      <c r="H28" s="90">
        <v>0</v>
      </c>
      <c r="I28" s="91"/>
      <c r="J28" s="91"/>
      <c r="K28" s="92"/>
      <c r="L28" s="90" t="e">
        <f>F28+H28</f>
        <v>#N/A</v>
      </c>
      <c r="M28" s="92"/>
      <c r="N28" s="90" t="e">
        <f>L28*0.09</f>
        <v>#N/A</v>
      </c>
      <c r="O28" s="92"/>
      <c r="P28" s="96">
        <f>VLOOKUP(D19,Lists!A43:B55,2,FALSE)</f>
        <v>0</v>
      </c>
      <c r="Q28" s="96"/>
      <c r="R28" s="96">
        <f>VLOOKUP(D19,Lists!A43:C55,3,FALSE)</f>
        <v>0</v>
      </c>
      <c r="S28" s="96"/>
      <c r="T28" s="76">
        <f>(P28+R28)</f>
        <v>0</v>
      </c>
      <c r="U28" s="77"/>
    </row>
    <row r="29" spans="1:25" s="1" customFormat="1" ht="15" customHeight="1" x14ac:dyDescent="0.25">
      <c r="A29" s="9"/>
      <c r="B29" s="102" t="s">
        <v>48</v>
      </c>
      <c r="C29" s="103"/>
      <c r="D29" s="104" t="e">
        <f>SUM(D27:E28)</f>
        <v>#N/A</v>
      </c>
      <c r="E29" s="105"/>
      <c r="F29" s="88" t="e">
        <f>SUM(F27:G28)</f>
        <v>#N/A</v>
      </c>
      <c r="G29" s="89"/>
      <c r="H29" s="88" t="e">
        <f>SUM(H27+H28)</f>
        <v>#N/A</v>
      </c>
      <c r="I29" s="93"/>
      <c r="J29" s="93"/>
      <c r="K29" s="89"/>
      <c r="L29" s="88" t="e">
        <f>L27+L28</f>
        <v>#N/A</v>
      </c>
      <c r="M29" s="89"/>
      <c r="N29" s="88" t="e">
        <f>N27+N28</f>
        <v>#N/A</v>
      </c>
      <c r="O29" s="89"/>
      <c r="P29" s="88" t="e">
        <f>P27+P28</f>
        <v>#N/A</v>
      </c>
      <c r="Q29" s="89"/>
      <c r="R29" s="88" t="e">
        <f>R27+R28</f>
        <v>#N/A</v>
      </c>
      <c r="S29" s="89"/>
      <c r="T29" s="113" t="e">
        <f>(P29+R29)</f>
        <v>#N/A</v>
      </c>
      <c r="U29" s="114"/>
      <c r="V29" s="9"/>
    </row>
    <row r="30" spans="1:25" s="1" customFormat="1" ht="15" customHeight="1" x14ac:dyDescent="0.25">
      <c r="A30" s="9"/>
      <c r="B30" s="106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8"/>
      <c r="V30" s="9"/>
    </row>
    <row r="31" spans="1:25" s="1" customFormat="1" ht="44.25" customHeight="1" x14ac:dyDescent="0.25">
      <c r="A31" s="9"/>
      <c r="B31" s="81" t="s">
        <v>49</v>
      </c>
      <c r="C31" s="82"/>
      <c r="D31" s="83" t="s">
        <v>38</v>
      </c>
      <c r="E31" s="84"/>
      <c r="F31" s="83" t="s">
        <v>39</v>
      </c>
      <c r="G31" s="84"/>
      <c r="H31" s="83" t="s">
        <v>40</v>
      </c>
      <c r="I31" s="85"/>
      <c r="J31" s="85"/>
      <c r="K31" s="84"/>
      <c r="L31" s="83" t="s">
        <v>41</v>
      </c>
      <c r="M31" s="84"/>
      <c r="N31" s="83" t="s">
        <v>42</v>
      </c>
      <c r="O31" s="84"/>
      <c r="P31" s="86" t="s">
        <v>43</v>
      </c>
      <c r="Q31" s="87"/>
      <c r="R31" s="86" t="s">
        <v>131</v>
      </c>
      <c r="S31" s="87"/>
      <c r="T31" s="86" t="s">
        <v>45</v>
      </c>
      <c r="U31" s="87"/>
      <c r="V31" s="9"/>
    </row>
    <row r="32" spans="1:25" s="1" customFormat="1" x14ac:dyDescent="0.25">
      <c r="A32" s="9"/>
      <c r="B32" s="94" t="s">
        <v>46</v>
      </c>
      <c r="C32" s="95"/>
      <c r="D32" s="94" t="e">
        <f>IF(C6="Manual",Lists!B80,VLOOKUP(C6,Lists!A73:C77,2,FALSE))</f>
        <v>#N/A</v>
      </c>
      <c r="E32" s="95"/>
      <c r="F32" s="90" t="e">
        <f>IF(C22="Y",((C5*1.02)*D32),(C5*D32))</f>
        <v>#N/A</v>
      </c>
      <c r="G32" s="92"/>
      <c r="H32" s="90" t="e" cm="1">
        <f t="array" ref="H32">_xlfn.IFS(C21="Yes",Lists!G2,C21="No, student is in second year",Lists!G3,C21="No, student is in third year or later",Lists!G4)</f>
        <v>#N/A</v>
      </c>
      <c r="I32" s="91"/>
      <c r="J32" s="91"/>
      <c r="K32" s="92"/>
      <c r="L32" s="90" t="e">
        <f>F32+H32</f>
        <v>#N/A</v>
      </c>
      <c r="M32" s="92"/>
      <c r="N32" s="90" t="e">
        <f>L32*0.01</f>
        <v>#N/A</v>
      </c>
      <c r="O32" s="92"/>
      <c r="P32" s="96" t="e">
        <f>VLOOKUP(Student!C6,Lists!A86:F91,3,FALSE)</f>
        <v>#N/A</v>
      </c>
      <c r="Q32" s="96"/>
      <c r="R32" s="96" t="e">
        <f>VLOOKUP(C6,Lists!A93:F98,3,FALSE)+(IF(C23="Y",(VLOOKUP(C6,Lists!A100:F105,3,FALSE)),0))</f>
        <v>#N/A</v>
      </c>
      <c r="S32" s="96"/>
      <c r="T32" s="76" t="e">
        <f>(P32+R32)</f>
        <v>#N/A</v>
      </c>
      <c r="U32" s="77"/>
      <c r="V32" s="9"/>
      <c r="Y32" s="4"/>
    </row>
    <row r="33" spans="1:25" s="1" customFormat="1" x14ac:dyDescent="0.25">
      <c r="A33" s="9"/>
      <c r="B33" s="94" t="s">
        <v>47</v>
      </c>
      <c r="C33" s="95"/>
      <c r="D33" s="94" t="e">
        <f>IF(C6="Manual",Lists!C80,VLOOKUP(C6,Lists!A73:C77,3,FALSE))</f>
        <v>#N/A</v>
      </c>
      <c r="E33" s="95"/>
      <c r="F33" s="90" t="e">
        <f>IF(C22="y",(((C5*1.02))*D33),(C5*D33))</f>
        <v>#N/A</v>
      </c>
      <c r="G33" s="92"/>
      <c r="H33" s="90">
        <v>0</v>
      </c>
      <c r="I33" s="91"/>
      <c r="J33" s="91"/>
      <c r="K33" s="92"/>
      <c r="L33" s="90" t="e">
        <f>F33+H33</f>
        <v>#N/A</v>
      </c>
      <c r="M33" s="92"/>
      <c r="N33" s="90" t="e">
        <f>L33*0.09</f>
        <v>#N/A</v>
      </c>
      <c r="O33" s="92"/>
      <c r="P33" s="96">
        <f>VLOOKUP(G19,Lists!A43:B55,2,FALSE)</f>
        <v>0</v>
      </c>
      <c r="Q33" s="96"/>
      <c r="R33" s="96">
        <f>VLOOKUP(G19,Lists!A43:C55,3,FALSE)</f>
        <v>0</v>
      </c>
      <c r="S33" s="96"/>
      <c r="T33" s="76">
        <f>(P33+R33)</f>
        <v>0</v>
      </c>
      <c r="U33" s="77"/>
      <c r="V33" s="9"/>
      <c r="W33"/>
    </row>
    <row r="34" spans="1:25" s="1" customFormat="1" x14ac:dyDescent="0.25">
      <c r="A34" s="9"/>
      <c r="B34" s="102" t="s">
        <v>50</v>
      </c>
      <c r="C34" s="103"/>
      <c r="D34" s="104" t="e">
        <f>SUM(D32:E33)</f>
        <v>#N/A</v>
      </c>
      <c r="E34" s="105"/>
      <c r="F34" s="88" t="e">
        <f>F32+F33</f>
        <v>#N/A</v>
      </c>
      <c r="G34" s="89"/>
      <c r="H34" s="88" t="e">
        <f>H32+H33</f>
        <v>#N/A</v>
      </c>
      <c r="I34" s="93"/>
      <c r="J34" s="93"/>
      <c r="K34" s="89"/>
      <c r="L34" s="88" t="e">
        <f>L32+L33</f>
        <v>#N/A</v>
      </c>
      <c r="M34" s="89"/>
      <c r="N34" s="88" t="e">
        <f t="shared" ref="N34" si="0">N32+N33</f>
        <v>#N/A</v>
      </c>
      <c r="O34" s="89"/>
      <c r="P34" s="88" t="e">
        <f t="shared" ref="P34" si="1">P32+P33</f>
        <v>#N/A</v>
      </c>
      <c r="Q34" s="89"/>
      <c r="R34" s="88" t="e">
        <f t="shared" ref="R34" si="2">R32+R33</f>
        <v>#N/A</v>
      </c>
      <c r="S34" s="89"/>
      <c r="T34" s="113" t="e">
        <f>(P34+R34)</f>
        <v>#N/A</v>
      </c>
      <c r="U34" s="114"/>
      <c r="V34" s="9"/>
    </row>
    <row r="35" spans="1:25" s="1" customFormat="1" x14ac:dyDescent="0.25">
      <c r="A35" s="9"/>
      <c r="B35" s="78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80"/>
      <c r="V35" s="9"/>
    </row>
    <row r="36" spans="1:25" ht="44.25" customHeight="1" x14ac:dyDescent="0.25">
      <c r="B36" s="81" t="s">
        <v>29</v>
      </c>
      <c r="C36" s="82"/>
      <c r="D36" s="83" t="s">
        <v>38</v>
      </c>
      <c r="E36" s="84"/>
      <c r="F36" s="83" t="s">
        <v>39</v>
      </c>
      <c r="G36" s="84"/>
      <c r="H36" s="83" t="s">
        <v>40</v>
      </c>
      <c r="I36" s="85"/>
      <c r="J36" s="85"/>
      <c r="K36" s="84"/>
      <c r="L36" s="83" t="s">
        <v>41</v>
      </c>
      <c r="M36" s="84"/>
      <c r="N36" s="83" t="s">
        <v>42</v>
      </c>
      <c r="O36" s="84"/>
      <c r="P36" s="86" t="s">
        <v>43</v>
      </c>
      <c r="Q36" s="87"/>
      <c r="R36" s="86" t="s">
        <v>131</v>
      </c>
      <c r="S36" s="87"/>
      <c r="T36" s="86" t="s">
        <v>45</v>
      </c>
      <c r="U36" s="87"/>
    </row>
    <row r="37" spans="1:25" x14ac:dyDescent="0.25">
      <c r="B37" s="94" t="s">
        <v>46</v>
      </c>
      <c r="C37" s="95"/>
      <c r="D37" s="94" t="e">
        <f>IF(C6="Manual",Lists!B81,VLOOKUP(C6,Lists!A73:C77,2,FALSE))</f>
        <v>#N/A</v>
      </c>
      <c r="E37" s="95"/>
      <c r="F37" s="90" t="e">
        <f>IF(C22="y",(((C5*1.02*1.02)*D37)),(C5*D37))</f>
        <v>#N/A</v>
      </c>
      <c r="G37" s="92"/>
      <c r="H37" s="90" t="e" cm="1">
        <f t="array" ref="H37">_xlfn.IFS(C21="Yes",Lists!H2,C21="No, student is in second year",Lists!H3,C21="No, student is in third year or later",Lists!H4)</f>
        <v>#N/A</v>
      </c>
      <c r="I37" s="91"/>
      <c r="J37" s="91"/>
      <c r="K37" s="92"/>
      <c r="L37" s="90" t="e">
        <f>F37+H37</f>
        <v>#N/A</v>
      </c>
      <c r="M37" s="92"/>
      <c r="N37" s="90" t="e">
        <f>L37*0.01</f>
        <v>#N/A</v>
      </c>
      <c r="O37" s="92"/>
      <c r="P37" s="96" t="e">
        <f>VLOOKUP(Student!C6,Lists!A86:F91,4,FALSE)</f>
        <v>#N/A</v>
      </c>
      <c r="Q37" s="96"/>
      <c r="R37" s="96" t="e">
        <f>VLOOKUP(C6,Lists!A93:F98,4,FALSE)+(IF(C23="Y",(VLOOKUP(C6,Lists!A100:F105,4,FALSE)),0))</f>
        <v>#N/A</v>
      </c>
      <c r="S37" s="96"/>
      <c r="T37" s="76" t="e">
        <f>(P37+R37)</f>
        <v>#N/A</v>
      </c>
      <c r="U37" s="77"/>
    </row>
    <row r="38" spans="1:25" x14ac:dyDescent="0.25">
      <c r="B38" s="94" t="s">
        <v>47</v>
      </c>
      <c r="C38" s="95"/>
      <c r="D38" s="94" t="e">
        <f>IF(C6="Manual",Lists!C81,VLOOKUP(C6,Lists!A73:C77,3,FALSE))</f>
        <v>#N/A</v>
      </c>
      <c r="E38" s="95"/>
      <c r="F38" s="90" t="e">
        <f>IF(C22="y",(((C5*1.02*1.02)*D38)),(C5*D38))</f>
        <v>#N/A</v>
      </c>
      <c r="G38" s="92"/>
      <c r="H38" s="90">
        <v>0</v>
      </c>
      <c r="I38" s="91"/>
      <c r="J38" s="91"/>
      <c r="K38" s="92"/>
      <c r="L38" s="90" t="e">
        <f>F38+H38</f>
        <v>#N/A</v>
      </c>
      <c r="M38" s="92"/>
      <c r="N38" s="90" t="e">
        <f>L38*0.09</f>
        <v>#N/A</v>
      </c>
      <c r="O38" s="92"/>
      <c r="P38" s="96">
        <f>VLOOKUP(J19,Lists!A43:B55,2,FALSE)</f>
        <v>0</v>
      </c>
      <c r="Q38" s="96"/>
      <c r="R38" s="96">
        <f>VLOOKUP(J19,Lists!A43:C55,3,FALSE)</f>
        <v>0</v>
      </c>
      <c r="S38" s="96"/>
      <c r="T38" s="76">
        <f>(P38+R38)</f>
        <v>0</v>
      </c>
      <c r="U38" s="77"/>
    </row>
    <row r="39" spans="1:25" x14ac:dyDescent="0.25">
      <c r="B39" s="102" t="s">
        <v>51</v>
      </c>
      <c r="C39" s="103"/>
      <c r="D39" s="104" t="e">
        <f>D37+D38</f>
        <v>#N/A</v>
      </c>
      <c r="E39" s="105"/>
      <c r="F39" s="88" t="e">
        <f>F37+F38</f>
        <v>#N/A</v>
      </c>
      <c r="G39" s="89"/>
      <c r="H39" s="88" t="e">
        <f>H37+H38</f>
        <v>#N/A</v>
      </c>
      <c r="I39" s="93"/>
      <c r="J39" s="93"/>
      <c r="K39" s="89"/>
      <c r="L39" s="88" t="e">
        <f>L37+L38</f>
        <v>#N/A</v>
      </c>
      <c r="M39" s="89"/>
      <c r="N39" s="88" t="e">
        <f t="shared" ref="N39" si="3">N37+N38</f>
        <v>#N/A</v>
      </c>
      <c r="O39" s="89"/>
      <c r="P39" s="88" t="e">
        <f t="shared" ref="P39" si="4">P37+P38</f>
        <v>#N/A</v>
      </c>
      <c r="Q39" s="89"/>
      <c r="R39" s="88" t="e">
        <f t="shared" ref="R39" si="5">R37+R38</f>
        <v>#N/A</v>
      </c>
      <c r="S39" s="89"/>
      <c r="T39" s="113" t="e">
        <f>(P39+R39)</f>
        <v>#N/A</v>
      </c>
      <c r="U39" s="114"/>
    </row>
    <row r="40" spans="1:25" x14ac:dyDescent="0.25">
      <c r="B40" s="78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80"/>
    </row>
    <row r="41" spans="1:25" ht="43.5" customHeight="1" x14ac:dyDescent="0.25">
      <c r="B41" s="81" t="s">
        <v>52</v>
      </c>
      <c r="C41" s="82"/>
      <c r="D41" s="81" t="s">
        <v>38</v>
      </c>
      <c r="E41" s="82"/>
      <c r="F41" s="81" t="s">
        <v>39</v>
      </c>
      <c r="G41" s="82"/>
      <c r="H41" s="83" t="s">
        <v>40</v>
      </c>
      <c r="I41" s="85"/>
      <c r="J41" s="85"/>
      <c r="K41" s="84"/>
      <c r="L41" s="81" t="s">
        <v>41</v>
      </c>
      <c r="M41" s="82"/>
      <c r="N41" s="81" t="s">
        <v>42</v>
      </c>
      <c r="O41" s="82"/>
      <c r="P41" s="86" t="s">
        <v>43</v>
      </c>
      <c r="Q41" s="87"/>
      <c r="R41" s="86" t="s">
        <v>131</v>
      </c>
      <c r="S41" s="87"/>
      <c r="T41" s="86" t="s">
        <v>45</v>
      </c>
      <c r="U41" s="87"/>
    </row>
    <row r="42" spans="1:25" x14ac:dyDescent="0.25">
      <c r="B42" s="94" t="s">
        <v>46</v>
      </c>
      <c r="C42" s="95"/>
      <c r="D42" s="94" t="e">
        <f>IF(C6="Manual",Lists!B82,VLOOKUP(C6,Lists!A73:C77,2,FALSE))</f>
        <v>#N/A</v>
      </c>
      <c r="E42" s="95"/>
      <c r="F42" s="90" t="e">
        <f>IF(C22="y",(((C5*1.02*1.02*1.02)*D42)),(C5*D42))</f>
        <v>#N/A</v>
      </c>
      <c r="G42" s="92"/>
      <c r="H42" s="90" t="e" cm="1">
        <f t="array" ref="H42">_xlfn.IFS(C21="Yes",Lists!I2,C21="No, student is in second year",Lists!I3,C21="No, student is in third year or later",Lists!I4)</f>
        <v>#N/A</v>
      </c>
      <c r="I42" s="91"/>
      <c r="J42" s="91"/>
      <c r="K42" s="92"/>
      <c r="L42" s="90" t="e">
        <f>F42+H42</f>
        <v>#N/A</v>
      </c>
      <c r="M42" s="92"/>
      <c r="N42" s="90" t="e">
        <f>L42*0.01</f>
        <v>#N/A</v>
      </c>
      <c r="O42" s="92"/>
      <c r="P42" s="109" t="e">
        <f>VLOOKUP(Student!C6,Lists!A86:F91,5,FALSE)</f>
        <v>#N/A</v>
      </c>
      <c r="Q42" s="110"/>
      <c r="R42" s="109" t="e">
        <f>VLOOKUP(C6,Lists!A93:F98,5,FALSE)+(IF(C23="Y",(VLOOKUP(C6,Lists!A100:F105,5,FALSE)),0))</f>
        <v>#N/A</v>
      </c>
      <c r="S42" s="110"/>
      <c r="T42" s="76" t="e">
        <f>(P42+R42)</f>
        <v>#N/A</v>
      </c>
      <c r="U42" s="77"/>
    </row>
    <row r="43" spans="1:25" x14ac:dyDescent="0.25">
      <c r="B43" s="94" t="s">
        <v>47</v>
      </c>
      <c r="C43" s="95"/>
      <c r="D43" s="94" t="e">
        <f>IF(C6="Manual",Lists!C82,VLOOKUP(C6,Lists!A73:C77,3,FALSE))</f>
        <v>#N/A</v>
      </c>
      <c r="E43" s="95"/>
      <c r="F43" s="90" t="e">
        <f>IF(C22="y",(((C5*1.02*1.02*1.02)*D43)),(C5*D43))</f>
        <v>#N/A</v>
      </c>
      <c r="G43" s="92"/>
      <c r="H43" s="90">
        <v>0</v>
      </c>
      <c r="I43" s="91"/>
      <c r="J43" s="91"/>
      <c r="K43" s="92"/>
      <c r="L43" s="90" t="e">
        <f>F43+H43</f>
        <v>#N/A</v>
      </c>
      <c r="M43" s="92"/>
      <c r="N43" s="90" t="e">
        <f>L43*0.09</f>
        <v>#N/A</v>
      </c>
      <c r="O43" s="92"/>
      <c r="P43" s="109">
        <f>VLOOKUP(M19,Lists!A43:B55,2,FALSE)</f>
        <v>0</v>
      </c>
      <c r="Q43" s="110"/>
      <c r="R43" s="109">
        <f>VLOOKUP(M19,Lists!A43:C55,3,FALSE)</f>
        <v>0</v>
      </c>
      <c r="S43" s="110"/>
      <c r="T43" s="76">
        <f>(P43+R43)</f>
        <v>0</v>
      </c>
      <c r="U43" s="77"/>
    </row>
    <row r="44" spans="1:25" x14ac:dyDescent="0.25">
      <c r="B44" s="102" t="s">
        <v>52</v>
      </c>
      <c r="C44" s="103"/>
      <c r="D44" s="104" t="e">
        <f>D42+D43</f>
        <v>#N/A</v>
      </c>
      <c r="E44" s="105"/>
      <c r="F44" s="88" t="e">
        <f>F42+F43</f>
        <v>#N/A</v>
      </c>
      <c r="G44" s="89"/>
      <c r="H44" s="88" t="e">
        <f>H42+H43</f>
        <v>#N/A</v>
      </c>
      <c r="I44" s="93"/>
      <c r="J44" s="93"/>
      <c r="K44" s="89"/>
      <c r="L44" s="88" t="e">
        <f>L42+L43</f>
        <v>#N/A</v>
      </c>
      <c r="M44" s="89"/>
      <c r="N44" s="88" t="e">
        <f t="shared" ref="N44" si="6">N42+N43</f>
        <v>#N/A</v>
      </c>
      <c r="O44" s="89"/>
      <c r="P44" s="88" t="e">
        <f t="shared" ref="P44" si="7">P42+P43</f>
        <v>#N/A</v>
      </c>
      <c r="Q44" s="89"/>
      <c r="R44" s="88" t="e">
        <f>R42+R43</f>
        <v>#N/A</v>
      </c>
      <c r="S44" s="89"/>
      <c r="T44" s="113" t="e">
        <f>(P44+R44)</f>
        <v>#N/A</v>
      </c>
      <c r="U44" s="114"/>
    </row>
    <row r="45" spans="1:25" x14ac:dyDescent="0.25">
      <c r="B45" s="78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80"/>
    </row>
    <row r="46" spans="1:25" ht="44.25" customHeight="1" x14ac:dyDescent="0.25">
      <c r="B46" s="81" t="s">
        <v>53</v>
      </c>
      <c r="C46" s="82"/>
      <c r="D46" s="83" t="s">
        <v>38</v>
      </c>
      <c r="E46" s="84"/>
      <c r="F46" s="83" t="s">
        <v>39</v>
      </c>
      <c r="G46" s="84"/>
      <c r="H46" s="83" t="s">
        <v>40</v>
      </c>
      <c r="I46" s="85"/>
      <c r="J46" s="85"/>
      <c r="K46" s="84"/>
      <c r="L46" s="83" t="s">
        <v>41</v>
      </c>
      <c r="M46" s="84"/>
      <c r="N46" s="83" t="s">
        <v>42</v>
      </c>
      <c r="O46" s="84"/>
      <c r="P46" s="86" t="s">
        <v>43</v>
      </c>
      <c r="Q46" s="87"/>
      <c r="R46" s="86" t="s">
        <v>131</v>
      </c>
      <c r="S46" s="87"/>
      <c r="T46" s="86" t="s">
        <v>45</v>
      </c>
      <c r="U46" s="87"/>
    </row>
    <row r="47" spans="1:25" x14ac:dyDescent="0.25">
      <c r="B47" s="94" t="s">
        <v>46</v>
      </c>
      <c r="C47" s="95"/>
      <c r="D47" s="94" t="e">
        <f>IF(C6="Manual",Lists!B83,VLOOKUP(C6,Lists!A73:C77,2,FALSE))</f>
        <v>#N/A</v>
      </c>
      <c r="E47" s="95"/>
      <c r="F47" s="90" t="e">
        <f>IF(C22="y",(((C5*1.02*1.02*1.02*1.02)*D47)),(C5*D47))</f>
        <v>#N/A</v>
      </c>
      <c r="G47" s="92"/>
      <c r="H47" s="90" t="e" cm="1">
        <f t="array" ref="H47">_xlfn.IFS(C21="Yes",Lists!J2,C21="No, student is in second year",Lists!J3,C21="No, student is in third year or later",Lists!J4)</f>
        <v>#N/A</v>
      </c>
      <c r="I47" s="91"/>
      <c r="J47" s="91"/>
      <c r="K47" s="92"/>
      <c r="L47" s="90" t="e">
        <f>F47+H47</f>
        <v>#N/A</v>
      </c>
      <c r="M47" s="92"/>
      <c r="N47" s="90" t="e">
        <f>L47*0.01</f>
        <v>#N/A</v>
      </c>
      <c r="O47" s="92"/>
      <c r="P47" s="109" t="e">
        <f>VLOOKUP(Student!C6,Lists!A86:F91,6,FALSE)</f>
        <v>#N/A</v>
      </c>
      <c r="Q47" s="110"/>
      <c r="R47" s="109" t="e">
        <f>VLOOKUP(C6,Lists!A93:F98,6,FALSE)+(IF(C23="Y",(VLOOKUP(C6,Lists!A100:F105,6,FALSE)),0))</f>
        <v>#N/A</v>
      </c>
      <c r="S47" s="110"/>
      <c r="T47" s="76" t="e">
        <f>(P47+R47)</f>
        <v>#N/A</v>
      </c>
      <c r="U47" s="77"/>
      <c r="Y47" s="5"/>
    </row>
    <row r="48" spans="1:25" x14ac:dyDescent="0.25">
      <c r="B48" s="94" t="s">
        <v>47</v>
      </c>
      <c r="C48" s="95"/>
      <c r="D48" s="94" t="e">
        <f>IF(C6="Manual",Lists!C83,VLOOKUP(C6,Lists!A73:C77,3,FALSE))</f>
        <v>#N/A</v>
      </c>
      <c r="E48" s="95"/>
      <c r="F48" s="90" t="e">
        <f>IF(C22="y",(((C5*1.02*1.02*1.02*1.02)*D48)),(C5*D48))</f>
        <v>#N/A</v>
      </c>
      <c r="G48" s="92"/>
      <c r="H48" s="90">
        <v>0</v>
      </c>
      <c r="I48" s="91"/>
      <c r="J48" s="91"/>
      <c r="K48" s="92"/>
      <c r="L48" s="90" t="e">
        <f>F48+H48</f>
        <v>#N/A</v>
      </c>
      <c r="M48" s="92"/>
      <c r="N48" s="90" t="e">
        <f>L48*0.09</f>
        <v>#N/A</v>
      </c>
      <c r="O48" s="92"/>
      <c r="P48" s="109">
        <f>VLOOKUP(P19,Lists!A43:B55,2,FALSE)</f>
        <v>0</v>
      </c>
      <c r="Q48" s="110"/>
      <c r="R48" s="109">
        <f>VLOOKUP(P19,Lists!A43:C55,3,FALSE)</f>
        <v>0</v>
      </c>
      <c r="S48" s="110"/>
      <c r="T48" s="76">
        <f>(P48+R48)</f>
        <v>0</v>
      </c>
      <c r="U48" s="77"/>
    </row>
    <row r="49" spans="2:21" ht="15" customHeight="1" x14ac:dyDescent="0.25">
      <c r="B49" s="102" t="s">
        <v>53</v>
      </c>
      <c r="C49" s="103"/>
      <c r="D49" s="104" t="e">
        <f>D47+D48</f>
        <v>#N/A</v>
      </c>
      <c r="E49" s="105"/>
      <c r="F49" s="88" t="e">
        <f>F47+F48</f>
        <v>#N/A</v>
      </c>
      <c r="G49" s="89"/>
      <c r="H49" s="88" t="e">
        <f>H47+H48</f>
        <v>#N/A</v>
      </c>
      <c r="I49" s="93"/>
      <c r="J49" s="93"/>
      <c r="K49" s="89"/>
      <c r="L49" s="88" t="e">
        <f>L47+L48</f>
        <v>#N/A</v>
      </c>
      <c r="M49" s="89"/>
      <c r="N49" s="88" t="e">
        <f t="shared" ref="N49" si="8">N47+N48</f>
        <v>#N/A</v>
      </c>
      <c r="O49" s="89"/>
      <c r="P49" s="88" t="e">
        <f>P47+P48</f>
        <v>#N/A</v>
      </c>
      <c r="Q49" s="89"/>
      <c r="R49" s="88" t="e">
        <f t="shared" ref="R49" si="9">R47+R48</f>
        <v>#N/A</v>
      </c>
      <c r="S49" s="89"/>
      <c r="T49" s="113" t="e">
        <f>(P49+R49)</f>
        <v>#N/A</v>
      </c>
      <c r="U49" s="114"/>
    </row>
    <row r="50" spans="2:21" x14ac:dyDescent="0.25"/>
    <row r="51" spans="2:21" x14ac:dyDescent="0.25"/>
  </sheetData>
  <sheetProtection algorithmName="SHA-512" hashValue="GOocgluL3TRC9GENMo9Gst2s/RwTTA9Sm7KwA+TOqo6SDS7u4SsGlh0EnhYPE+9ERZqqM96waUrDlf0x4WiQTA==" saltValue="BmYVOycGn57S40VcESi1CQ==" spinCount="100000" sheet="1" formatCells="0" formatColumns="0" formatRows="0" insertColumns="0" insertRows="0" insertHyperlinks="0" deleteColumns="0" deleteRows="0" sort="0" autoFilter="0" pivotTables="0"/>
  <mergeCells count="210">
    <mergeCell ref="N17:O17"/>
    <mergeCell ref="N18:O18"/>
    <mergeCell ref="N19:O19"/>
    <mergeCell ref="E17:F17"/>
    <mergeCell ref="E18:F18"/>
    <mergeCell ref="E19:F19"/>
    <mergeCell ref="H17:I17"/>
    <mergeCell ref="H18:I18"/>
    <mergeCell ref="H19:I19"/>
    <mergeCell ref="K17:L17"/>
    <mergeCell ref="K18:L18"/>
    <mergeCell ref="K19:L19"/>
    <mergeCell ref="N5:P5"/>
    <mergeCell ref="B43:C43"/>
    <mergeCell ref="D43:E43"/>
    <mergeCell ref="F43:G43"/>
    <mergeCell ref="H43:K43"/>
    <mergeCell ref="L43:M43"/>
    <mergeCell ref="B42:C42"/>
    <mergeCell ref="D42:E42"/>
    <mergeCell ref="J9:N9"/>
    <mergeCell ref="P33:Q33"/>
    <mergeCell ref="B39:C39"/>
    <mergeCell ref="D39:E39"/>
    <mergeCell ref="F39:G39"/>
    <mergeCell ref="H39:K39"/>
    <mergeCell ref="L39:M39"/>
    <mergeCell ref="N37:O37"/>
    <mergeCell ref="B38:C38"/>
    <mergeCell ref="D38:E38"/>
    <mergeCell ref="F38:G38"/>
    <mergeCell ref="H38:K38"/>
    <mergeCell ref="L38:M38"/>
    <mergeCell ref="N38:O38"/>
    <mergeCell ref="B37:C37"/>
    <mergeCell ref="D37:E37"/>
    <mergeCell ref="E9:I9"/>
    <mergeCell ref="H49:K49"/>
    <mergeCell ref="F37:G37"/>
    <mergeCell ref="R33:S33"/>
    <mergeCell ref="P37:Q37"/>
    <mergeCell ref="R37:S37"/>
    <mergeCell ref="P38:Q38"/>
    <mergeCell ref="R38:S38"/>
    <mergeCell ref="P42:Q42"/>
    <mergeCell ref="R42:S42"/>
    <mergeCell ref="R39:S39"/>
    <mergeCell ref="P39:Q39"/>
    <mergeCell ref="H37:K37"/>
    <mergeCell ref="L37:M37"/>
    <mergeCell ref="N27:O27"/>
    <mergeCell ref="N28:O28"/>
    <mergeCell ref="N29:O29"/>
    <mergeCell ref="R26:S26"/>
    <mergeCell ref="R32:S32"/>
    <mergeCell ref="R31:S31"/>
    <mergeCell ref="N31:O31"/>
    <mergeCell ref="R46:S46"/>
    <mergeCell ref="N46:O46"/>
    <mergeCell ref="C22:I22"/>
    <mergeCell ref="C2:I2"/>
    <mergeCell ref="C3:I3"/>
    <mergeCell ref="T49:U49"/>
    <mergeCell ref="T26:U26"/>
    <mergeCell ref="N26:O26"/>
    <mergeCell ref="T29:U29"/>
    <mergeCell ref="T31:U31"/>
    <mergeCell ref="T34:U34"/>
    <mergeCell ref="T36:U36"/>
    <mergeCell ref="T39:U39"/>
    <mergeCell ref="T41:U41"/>
    <mergeCell ref="T44:U44"/>
    <mergeCell ref="T46:U46"/>
    <mergeCell ref="R49:S49"/>
    <mergeCell ref="N49:O49"/>
    <mergeCell ref="B49:C49"/>
    <mergeCell ref="D49:E49"/>
    <mergeCell ref="F49:G49"/>
    <mergeCell ref="C4:I4"/>
    <mergeCell ref="R47:S47"/>
    <mergeCell ref="P48:Q48"/>
    <mergeCell ref="C6:I6"/>
    <mergeCell ref="C21:I21"/>
    <mergeCell ref="R48:S48"/>
    <mergeCell ref="C23:I23"/>
    <mergeCell ref="L49:M49"/>
    <mergeCell ref="P49:Q49"/>
    <mergeCell ref="N47:O47"/>
    <mergeCell ref="B48:C48"/>
    <mergeCell ref="D48:E48"/>
    <mergeCell ref="F48:G48"/>
    <mergeCell ref="H48:K48"/>
    <mergeCell ref="L48:M48"/>
    <mergeCell ref="N48:O48"/>
    <mergeCell ref="B47:C47"/>
    <mergeCell ref="D47:E47"/>
    <mergeCell ref="F47:G47"/>
    <mergeCell ref="H47:K47"/>
    <mergeCell ref="L47:M47"/>
    <mergeCell ref="P47:Q47"/>
    <mergeCell ref="P46:Q46"/>
    <mergeCell ref="P27:Q27"/>
    <mergeCell ref="P28:Q28"/>
    <mergeCell ref="B45:U45"/>
    <mergeCell ref="F42:G42"/>
    <mergeCell ref="H42:K42"/>
    <mergeCell ref="L42:M42"/>
    <mergeCell ref="D46:E46"/>
    <mergeCell ref="F46:G46"/>
    <mergeCell ref="H46:K46"/>
    <mergeCell ref="L46:M46"/>
    <mergeCell ref="H41:K41"/>
    <mergeCell ref="L41:M41"/>
    <mergeCell ref="P41:Q41"/>
    <mergeCell ref="R41:S41"/>
    <mergeCell ref="B44:C44"/>
    <mergeCell ref="D44:E44"/>
    <mergeCell ref="F44:G44"/>
    <mergeCell ref="H44:K44"/>
    <mergeCell ref="L44:M44"/>
    <mergeCell ref="P44:Q44"/>
    <mergeCell ref="R44:S44"/>
    <mergeCell ref="N44:O44"/>
    <mergeCell ref="N42:O42"/>
    <mergeCell ref="N43:O43"/>
    <mergeCell ref="P43:Q43"/>
    <mergeCell ref="N41:O41"/>
    <mergeCell ref="R43:S43"/>
    <mergeCell ref="B46:C46"/>
    <mergeCell ref="E8:N8"/>
    <mergeCell ref="O8:P8"/>
    <mergeCell ref="B26:C26"/>
    <mergeCell ref="D26:E26"/>
    <mergeCell ref="B27:C27"/>
    <mergeCell ref="B28:C28"/>
    <mergeCell ref="L28:M28"/>
    <mergeCell ref="L29:M29"/>
    <mergeCell ref="B34:C34"/>
    <mergeCell ref="D34:E34"/>
    <mergeCell ref="F34:G34"/>
    <mergeCell ref="H34:K34"/>
    <mergeCell ref="L34:M34"/>
    <mergeCell ref="B30:U30"/>
    <mergeCell ref="B29:C29"/>
    <mergeCell ref="D27:E27"/>
    <mergeCell ref="D28:E28"/>
    <mergeCell ref="D29:E29"/>
    <mergeCell ref="F26:G26"/>
    <mergeCell ref="F27:G27"/>
    <mergeCell ref="F28:G28"/>
    <mergeCell ref="R29:S29"/>
    <mergeCell ref="H26:K26"/>
    <mergeCell ref="R28:S28"/>
    <mergeCell ref="R27:S27"/>
    <mergeCell ref="D41:E41"/>
    <mergeCell ref="F41:G41"/>
    <mergeCell ref="B31:C31"/>
    <mergeCell ref="D31:E31"/>
    <mergeCell ref="F31:G31"/>
    <mergeCell ref="H31:K31"/>
    <mergeCell ref="L31:M31"/>
    <mergeCell ref="P31:Q31"/>
    <mergeCell ref="N33:O33"/>
    <mergeCell ref="P34:Q34"/>
    <mergeCell ref="R34:S34"/>
    <mergeCell ref="N34:O34"/>
    <mergeCell ref="B33:C33"/>
    <mergeCell ref="D33:E33"/>
    <mergeCell ref="F33:G33"/>
    <mergeCell ref="H33:K33"/>
    <mergeCell ref="L33:M33"/>
    <mergeCell ref="P26:Q26"/>
    <mergeCell ref="P29:Q29"/>
    <mergeCell ref="H27:K27"/>
    <mergeCell ref="H28:K28"/>
    <mergeCell ref="H29:K29"/>
    <mergeCell ref="L26:M26"/>
    <mergeCell ref="L27:M27"/>
    <mergeCell ref="F29:G29"/>
    <mergeCell ref="B32:C32"/>
    <mergeCell ref="D32:E32"/>
    <mergeCell ref="F32:G32"/>
    <mergeCell ref="H32:K32"/>
    <mergeCell ref="L32:M32"/>
    <mergeCell ref="N32:O32"/>
    <mergeCell ref="P32:Q32"/>
    <mergeCell ref="C5:I5"/>
    <mergeCell ref="B10:B14"/>
    <mergeCell ref="T48:U48"/>
    <mergeCell ref="T27:U27"/>
    <mergeCell ref="T28:U28"/>
    <mergeCell ref="T32:U32"/>
    <mergeCell ref="T33:U33"/>
    <mergeCell ref="T37:U37"/>
    <mergeCell ref="T38:U38"/>
    <mergeCell ref="T42:U42"/>
    <mergeCell ref="T43:U43"/>
    <mergeCell ref="T47:U47"/>
    <mergeCell ref="B35:U35"/>
    <mergeCell ref="B36:C36"/>
    <mergeCell ref="D36:E36"/>
    <mergeCell ref="F36:G36"/>
    <mergeCell ref="H36:K36"/>
    <mergeCell ref="L36:M36"/>
    <mergeCell ref="P36:Q36"/>
    <mergeCell ref="R36:S36"/>
    <mergeCell ref="N36:O36"/>
    <mergeCell ref="N39:O39"/>
    <mergeCell ref="B40:U40"/>
    <mergeCell ref="B41:C41"/>
  </mergeCells>
  <phoneticPr fontId="3" type="noConversion"/>
  <conditionalFormatting sqref="C5">
    <cfRule type="containsBlanks" dxfId="25" priority="35">
      <formula>LEN(TRIM(C5))=0</formula>
    </cfRule>
  </conditionalFormatting>
  <conditionalFormatting sqref="C6">
    <cfRule type="containsBlanks" dxfId="24" priority="34">
      <formula>LEN(TRIM(C6))=0</formula>
    </cfRule>
  </conditionalFormatting>
  <conditionalFormatting sqref="C21">
    <cfRule type="containsBlanks" dxfId="23" priority="33">
      <formula>LEN(TRIM(C21))=0</formula>
    </cfRule>
  </conditionalFormatting>
  <conditionalFormatting sqref="C22:C23">
    <cfRule type="containsBlanks" dxfId="22" priority="32">
      <formula>LEN(TRIM(C22))=0</formula>
    </cfRule>
  </conditionalFormatting>
  <conditionalFormatting sqref="C2">
    <cfRule type="containsBlanks" dxfId="21" priority="30">
      <formula>LEN(TRIM(C2))=0</formula>
    </cfRule>
  </conditionalFormatting>
  <conditionalFormatting sqref="C3">
    <cfRule type="containsBlanks" dxfId="20" priority="28">
      <formula>LEN(TRIM(C3))=0</formula>
    </cfRule>
  </conditionalFormatting>
  <conditionalFormatting sqref="D17">
    <cfRule type="expression" dxfId="19" priority="26">
      <formula>$C$6="Manual"</formula>
    </cfRule>
  </conditionalFormatting>
  <conditionalFormatting sqref="G17">
    <cfRule type="expression" dxfId="18" priority="25">
      <formula>$C$6="Manual"</formula>
    </cfRule>
  </conditionalFormatting>
  <conditionalFormatting sqref="J17">
    <cfRule type="expression" dxfId="17" priority="24">
      <formula>$C$6="Manual"</formula>
    </cfRule>
  </conditionalFormatting>
  <conditionalFormatting sqref="M17">
    <cfRule type="expression" dxfId="16" priority="23">
      <formula>$C$6="Manual"</formula>
    </cfRule>
  </conditionalFormatting>
  <conditionalFormatting sqref="P17">
    <cfRule type="expression" dxfId="15" priority="22">
      <formula>$C$6="Manual"</formula>
    </cfRule>
  </conditionalFormatting>
  <conditionalFormatting sqref="D18">
    <cfRule type="expression" dxfId="14" priority="19">
      <formula>$C$6="Manual"</formula>
    </cfRule>
  </conditionalFormatting>
  <conditionalFormatting sqref="G18">
    <cfRule type="expression" dxfId="13" priority="18">
      <formula>$C$6="Manual"</formula>
    </cfRule>
  </conditionalFormatting>
  <conditionalFormatting sqref="J18">
    <cfRule type="expression" dxfId="12" priority="17">
      <formula>$C$6="Manual"</formula>
    </cfRule>
  </conditionalFormatting>
  <conditionalFormatting sqref="M18">
    <cfRule type="expression" dxfId="11" priority="16">
      <formula>$C$6="Manual"</formula>
    </cfRule>
  </conditionalFormatting>
  <conditionalFormatting sqref="P18">
    <cfRule type="expression" dxfId="10" priority="15">
      <formula>$C$6="Manual"</formula>
    </cfRule>
  </conditionalFormatting>
  <conditionalFormatting sqref="C5:I5">
    <cfRule type="cellIs" dxfId="9" priority="14" operator="lessThan">
      <formula>$C$4</formula>
    </cfRule>
  </conditionalFormatting>
  <conditionalFormatting sqref="D19">
    <cfRule type="expression" dxfId="8" priority="13">
      <formula>$C$6="Manual"</formula>
    </cfRule>
  </conditionalFormatting>
  <conditionalFormatting sqref="G19">
    <cfRule type="expression" dxfId="7" priority="12">
      <formula>$C$6="Manual"</formula>
    </cfRule>
  </conditionalFormatting>
  <conditionalFormatting sqref="J19">
    <cfRule type="expression" dxfId="6" priority="11">
      <formula>$C$6="manual"</formula>
    </cfRule>
  </conditionalFormatting>
  <conditionalFormatting sqref="M19">
    <cfRule type="expression" dxfId="5" priority="10">
      <formula>$C$6="manual"</formula>
    </cfRule>
  </conditionalFormatting>
  <conditionalFormatting sqref="P19">
    <cfRule type="expression" dxfId="4" priority="9">
      <formula>$C$6="manual"</formula>
    </cfRule>
  </conditionalFormatting>
  <conditionalFormatting sqref="D11:D15">
    <cfRule type="expression" dxfId="3" priority="4">
      <formula>$C$6="manual"</formula>
    </cfRule>
    <cfRule type="containsBlanks" dxfId="2" priority="5">
      <formula>LEN(TRIM(D11))=0</formula>
    </cfRule>
  </conditionalFormatting>
  <conditionalFormatting sqref="E11:P15">
    <cfRule type="expression" dxfId="1" priority="3">
      <formula>$C$6="manual"</formula>
    </cfRule>
  </conditionalFormatting>
  <conditionalFormatting sqref="C4">
    <cfRule type="containsBlanks" dxfId="0" priority="1">
      <formula>LEN(TRIM(C4))=0</formula>
    </cfRule>
  </conditionalFormatting>
  <dataValidations count="1">
    <dataValidation type="list" allowBlank="1" showInputMessage="1" showErrorMessage="1" sqref="C24 E8:J10 C16:I16" xr:uid="{41BE1DCB-569D-4C0E-94D7-816A122CBDFB}">
      <formula1>#REF!</formula1>
    </dataValidation>
  </dataValidations>
  <pageMargins left="0.7" right="0.7" top="0.75" bottom="0.75" header="0.3" footer="0.3"/>
  <pageSetup scale="62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6378A35-F3F3-4897-AE8B-279B83B81FA0}">
          <x14:formula1>
            <xm:f>Lists!$A$73:$A$78</xm:f>
          </x14:formula1>
          <xm:sqref>C6:I6</xm:sqref>
        </x14:dataValidation>
        <x14:dataValidation type="list" allowBlank="1" showInputMessage="1" showErrorMessage="1" xr:uid="{E043D5DE-EA94-4A54-973B-D8F64A48F466}">
          <x14:formula1>
            <xm:f>Lists!$A$43:$A$55</xm:f>
          </x14:formula1>
          <xm:sqref>M17:M19 J17:J19 G17:G19 D17:D19 P17:P19</xm:sqref>
        </x14:dataValidation>
        <x14:dataValidation type="list" allowBlank="1" showInputMessage="1" showErrorMessage="1" xr:uid="{728B8D49-CAA2-4CCF-B048-9DBC529A56EA}">
          <x14:formula1>
            <xm:f>Lists!$B$2:$B$4</xm:f>
          </x14:formula1>
          <xm:sqref>C21</xm:sqref>
        </x14:dataValidation>
        <x14:dataValidation type="list" allowBlank="1" showInputMessage="1" showErrorMessage="1" xr:uid="{02836318-1EA9-40BA-B82C-FF730C5CB1E0}">
          <x14:formula1>
            <xm:f>Lists!$A$2:$A$3</xm:f>
          </x14:formula1>
          <xm:sqref>C22:C23 E11:P15</xm:sqref>
        </x14:dataValidation>
        <x14:dataValidation type="list" allowBlank="1" showInputMessage="1" showErrorMessage="1" xr:uid="{E4850F53-71D5-4FF7-BED8-CCCB04F381BD}">
          <x14:formula1>
            <xm:f>Lists!$A$7:$A$34</xm:f>
          </x14:formula1>
          <xm:sqref>C3:I3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BD3FA-6C26-4540-9348-9B8156B60CC4}">
  <dimension ref="A1:C35"/>
  <sheetViews>
    <sheetView zoomScale="85" zoomScaleNormal="85" zoomScaleSheetLayoutView="100" workbookViewId="0">
      <selection activeCell="C3" sqref="C3"/>
    </sheetView>
  </sheetViews>
  <sheetFormatPr defaultRowHeight="15" x14ac:dyDescent="0.25"/>
  <cols>
    <col min="1" max="1" width="31.42578125" style="63" bestFit="1" customWidth="1"/>
    <col min="2" max="2" width="14.85546875" style="64" customWidth="1"/>
    <col min="3" max="3" width="13.28515625" style="63" customWidth="1"/>
    <col min="4" max="16384" width="9.140625" style="63"/>
  </cols>
  <sheetData>
    <row r="1" spans="1:3" x14ac:dyDescent="0.25">
      <c r="A1" s="63" t="s">
        <v>128</v>
      </c>
      <c r="B1" s="70" t="s">
        <v>129</v>
      </c>
      <c r="C1" s="69"/>
    </row>
    <row r="2" spans="1:3" x14ac:dyDescent="0.25">
      <c r="A2" s="67" t="s">
        <v>95</v>
      </c>
      <c r="B2" s="66">
        <v>13077</v>
      </c>
      <c r="C2" s="68"/>
    </row>
    <row r="3" spans="1:3" x14ac:dyDescent="0.25">
      <c r="A3" s="67" t="s">
        <v>96</v>
      </c>
      <c r="B3" s="66">
        <v>13710</v>
      </c>
      <c r="C3" s="65"/>
    </row>
    <row r="4" spans="1:3" x14ac:dyDescent="0.25">
      <c r="A4" s="67" t="s">
        <v>97</v>
      </c>
      <c r="B4" s="66">
        <v>11776</v>
      </c>
      <c r="C4" s="65"/>
    </row>
    <row r="5" spans="1:3" x14ac:dyDescent="0.25">
      <c r="A5" s="67" t="s">
        <v>98</v>
      </c>
      <c r="B5" s="66">
        <v>18549.666666666668</v>
      </c>
    </row>
    <row r="6" spans="1:3" x14ac:dyDescent="0.25">
      <c r="A6" s="67" t="s">
        <v>99</v>
      </c>
      <c r="B6" s="66">
        <v>13792.888888888889</v>
      </c>
      <c r="C6" s="65"/>
    </row>
    <row r="7" spans="1:3" x14ac:dyDescent="0.25">
      <c r="A7" s="67" t="s">
        <v>100</v>
      </c>
      <c r="B7" s="66">
        <v>19864</v>
      </c>
      <c r="C7" s="65"/>
    </row>
    <row r="8" spans="1:3" x14ac:dyDescent="0.25">
      <c r="A8" s="67" t="s">
        <v>101</v>
      </c>
      <c r="B8" s="66">
        <v>22479.571428571428</v>
      </c>
      <c r="C8" s="65"/>
    </row>
    <row r="9" spans="1:3" x14ac:dyDescent="0.25">
      <c r="A9" s="67" t="s">
        <v>102</v>
      </c>
      <c r="B9" s="66">
        <v>21997.282608695652</v>
      </c>
      <c r="C9" s="65"/>
    </row>
    <row r="10" spans="1:3" x14ac:dyDescent="0.25">
      <c r="A10" s="67" t="s">
        <v>103</v>
      </c>
      <c r="B10" s="66">
        <v>20769.384615384617</v>
      </c>
      <c r="C10" s="65"/>
    </row>
    <row r="11" spans="1:3" x14ac:dyDescent="0.25">
      <c r="A11" s="67" t="s">
        <v>104</v>
      </c>
      <c r="B11" s="66">
        <v>23010</v>
      </c>
      <c r="C11" s="65"/>
    </row>
    <row r="12" spans="1:3" x14ac:dyDescent="0.25">
      <c r="A12" s="67" t="s">
        <v>105</v>
      </c>
      <c r="B12" s="66">
        <v>18641.352941176472</v>
      </c>
      <c r="C12" s="65"/>
    </row>
    <row r="13" spans="1:3" x14ac:dyDescent="0.25">
      <c r="A13" s="67" t="s">
        <v>106</v>
      </c>
      <c r="B13" s="66">
        <v>15592.875</v>
      </c>
      <c r="C13" s="65"/>
    </row>
    <row r="14" spans="1:3" x14ac:dyDescent="0.25">
      <c r="A14" s="67" t="s">
        <v>107</v>
      </c>
      <c r="B14" s="66">
        <v>17415.8</v>
      </c>
      <c r="C14" s="65"/>
    </row>
    <row r="15" spans="1:3" x14ac:dyDescent="0.25">
      <c r="A15" s="67" t="s">
        <v>108</v>
      </c>
      <c r="B15" s="66">
        <v>19883.347826086956</v>
      </c>
      <c r="C15" s="65"/>
    </row>
    <row r="16" spans="1:3" x14ac:dyDescent="0.25">
      <c r="A16" s="67" t="s">
        <v>109</v>
      </c>
      <c r="B16" s="66">
        <v>16787</v>
      </c>
      <c r="C16" s="65"/>
    </row>
    <row r="17" spans="1:3" x14ac:dyDescent="0.25">
      <c r="A17" s="67" t="s">
        <v>110</v>
      </c>
      <c r="B17" s="66">
        <v>21110</v>
      </c>
      <c r="C17" s="65"/>
    </row>
    <row r="18" spans="1:3" x14ac:dyDescent="0.25">
      <c r="A18" s="67" t="s">
        <v>111</v>
      </c>
      <c r="B18" s="66">
        <v>22394.090909090908</v>
      </c>
      <c r="C18" s="65"/>
    </row>
    <row r="19" spans="1:3" x14ac:dyDescent="0.25">
      <c r="A19" s="67" t="s">
        <v>112</v>
      </c>
      <c r="B19" s="66">
        <v>18326.18181818182</v>
      </c>
      <c r="C19" s="65"/>
    </row>
    <row r="20" spans="1:3" x14ac:dyDescent="0.25">
      <c r="A20" s="67" t="s">
        <v>113</v>
      </c>
      <c r="B20" s="66">
        <v>16917.599999999999</v>
      </c>
      <c r="C20" s="65"/>
    </row>
    <row r="21" spans="1:3" x14ac:dyDescent="0.25">
      <c r="A21" s="67" t="s">
        <v>114</v>
      </c>
      <c r="B21" s="66">
        <v>18376</v>
      </c>
      <c r="C21" s="65"/>
    </row>
    <row r="22" spans="1:3" x14ac:dyDescent="0.25">
      <c r="A22" s="67" t="s">
        <v>115</v>
      </c>
      <c r="B22" s="66">
        <v>21239.058823529413</v>
      </c>
      <c r="C22" s="65"/>
    </row>
    <row r="23" spans="1:3" x14ac:dyDescent="0.25">
      <c r="A23" s="67" t="s">
        <v>116</v>
      </c>
      <c r="B23" s="66">
        <v>19681.166666666668</v>
      </c>
      <c r="C23" s="65"/>
    </row>
    <row r="24" spans="1:3" x14ac:dyDescent="0.25">
      <c r="A24" s="67" t="s">
        <v>117</v>
      </c>
      <c r="B24" s="66">
        <v>21407.4</v>
      </c>
      <c r="C24" s="65"/>
    </row>
    <row r="25" spans="1:3" x14ac:dyDescent="0.25">
      <c r="A25" s="67" t="s">
        <v>118</v>
      </c>
      <c r="B25" s="66">
        <v>19010</v>
      </c>
      <c r="C25" s="65"/>
    </row>
    <row r="26" spans="1:3" x14ac:dyDescent="0.25">
      <c r="A26" s="67" t="s">
        <v>119</v>
      </c>
      <c r="B26" s="66">
        <v>11988</v>
      </c>
      <c r="C26" s="65"/>
    </row>
    <row r="27" spans="1:3" x14ac:dyDescent="0.25">
      <c r="A27" s="67" t="s">
        <v>120</v>
      </c>
      <c r="B27" s="66">
        <v>12461.705882352941</v>
      </c>
      <c r="C27" s="65"/>
    </row>
    <row r="28" spans="1:3" x14ac:dyDescent="0.25">
      <c r="A28" s="67" t="s">
        <v>121</v>
      </c>
      <c r="B28" s="66">
        <v>20959</v>
      </c>
      <c r="C28" s="65"/>
    </row>
    <row r="29" spans="1:3" x14ac:dyDescent="0.25">
      <c r="A29" s="67" t="s">
        <v>122</v>
      </c>
      <c r="B29" s="66">
        <v>18539.428571428572</v>
      </c>
      <c r="C29" s="65"/>
    </row>
    <row r="30" spans="1:3" x14ac:dyDescent="0.25">
      <c r="A30" s="67" t="s">
        <v>123</v>
      </c>
      <c r="B30" s="66">
        <v>20617</v>
      </c>
      <c r="C30" s="65"/>
    </row>
    <row r="31" spans="1:3" x14ac:dyDescent="0.25">
      <c r="A31" s="67" t="s">
        <v>124</v>
      </c>
      <c r="B31" s="66">
        <v>19191</v>
      </c>
      <c r="C31" s="65"/>
    </row>
    <row r="32" spans="1:3" x14ac:dyDescent="0.25">
      <c r="A32" s="67" t="s">
        <v>125</v>
      </c>
      <c r="B32" s="66">
        <v>7800</v>
      </c>
      <c r="C32" s="65"/>
    </row>
    <row r="33" spans="1:3" x14ac:dyDescent="0.25">
      <c r="A33" s="67" t="s">
        <v>126</v>
      </c>
      <c r="B33" s="66">
        <v>16202</v>
      </c>
      <c r="C33" s="65"/>
    </row>
    <row r="34" spans="1:3" x14ac:dyDescent="0.25">
      <c r="A34" s="67" t="s">
        <v>127</v>
      </c>
      <c r="B34" s="66">
        <v>13571</v>
      </c>
      <c r="C34" s="65"/>
    </row>
    <row r="35" spans="1:3" x14ac:dyDescent="0.25">
      <c r="A35" s="67" t="s">
        <v>94</v>
      </c>
      <c r="B35" s="66">
        <v>28310</v>
      </c>
      <c r="C35" s="65"/>
    </row>
  </sheetData>
  <pageMargins left="0" right="0" top="0" bottom="0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2BFF5-DF05-4712-AC9B-6C0C88598DAB}">
  <sheetPr codeName="Sheet2"/>
  <dimension ref="A1:N106"/>
  <sheetViews>
    <sheetView topLeftCell="A75" zoomScaleNormal="100" workbookViewId="0">
      <selection activeCell="D103" sqref="D103"/>
    </sheetView>
  </sheetViews>
  <sheetFormatPr defaultColWidth="9.140625" defaultRowHeight="15" x14ac:dyDescent="0.25"/>
  <cols>
    <col min="1" max="1" width="32" style="16" bestFit="1" customWidth="1"/>
    <col min="2" max="2" width="12.85546875" style="16" customWidth="1"/>
    <col min="3" max="3" width="21.5703125" style="16" customWidth="1"/>
    <col min="4" max="4" width="10" style="16" customWidth="1"/>
    <col min="5" max="5" width="18.7109375" style="16" customWidth="1"/>
    <col min="6" max="6" width="14" style="16" bestFit="1" customWidth="1"/>
    <col min="7" max="7" width="12.5703125" style="16" customWidth="1"/>
    <col min="8" max="8" width="11.85546875" style="16" customWidth="1"/>
    <col min="9" max="9" width="11.42578125" style="16" customWidth="1"/>
    <col min="10" max="10" width="11.140625" style="16" customWidth="1"/>
    <col min="11" max="11" width="11" style="16" customWidth="1"/>
    <col min="12" max="12" width="9.5703125" style="16" bestFit="1" customWidth="1"/>
    <col min="13" max="16384" width="9.140625" style="16"/>
  </cols>
  <sheetData>
    <row r="1" spans="1:10" x14ac:dyDescent="0.25">
      <c r="D1" s="16">
        <v>2021</v>
      </c>
      <c r="E1" s="16">
        <v>2022</v>
      </c>
      <c r="F1" s="16" t="s">
        <v>25</v>
      </c>
      <c r="G1" s="16" t="s">
        <v>27</v>
      </c>
      <c r="H1" s="16" t="s">
        <v>29</v>
      </c>
      <c r="I1" s="16" t="s">
        <v>30</v>
      </c>
      <c r="J1" s="16" t="s">
        <v>31</v>
      </c>
    </row>
    <row r="2" spans="1:10" x14ac:dyDescent="0.25">
      <c r="A2" s="16" t="s">
        <v>54</v>
      </c>
      <c r="B2" s="16" t="s">
        <v>55</v>
      </c>
      <c r="D2" s="17">
        <v>175</v>
      </c>
      <c r="E2" s="17">
        <v>175</v>
      </c>
      <c r="F2" s="51" t="e">
        <f>D2*Student!D27</f>
        <v>#N/A</v>
      </c>
      <c r="G2" s="16" t="e">
        <f>E2*Student!D32</f>
        <v>#N/A</v>
      </c>
      <c r="H2" s="16" t="e">
        <f>E3*Student!D37</f>
        <v>#N/A</v>
      </c>
      <c r="I2" s="16" t="e">
        <f>E3*Student!D42</f>
        <v>#N/A</v>
      </c>
      <c r="J2" s="16" t="e">
        <f>E3*Student!D47</f>
        <v>#N/A</v>
      </c>
    </row>
    <row r="3" spans="1:10" x14ac:dyDescent="0.25">
      <c r="A3" s="16" t="s">
        <v>56</v>
      </c>
      <c r="B3" s="16" t="s">
        <v>57</v>
      </c>
      <c r="D3" s="17">
        <v>225</v>
      </c>
      <c r="E3" s="17">
        <v>225</v>
      </c>
      <c r="F3" s="51" t="e">
        <f>D2*Student!D27</f>
        <v>#N/A</v>
      </c>
      <c r="G3" s="16" t="e">
        <f>E3*Student!D32</f>
        <v>#N/A</v>
      </c>
      <c r="H3" s="16" t="e">
        <f>E3*Student!D37</f>
        <v>#N/A</v>
      </c>
      <c r="I3" s="16" t="e">
        <f>E3*Student!D42</f>
        <v>#N/A</v>
      </c>
      <c r="J3" s="16" t="e">
        <f>E3*Student!D47</f>
        <v>#N/A</v>
      </c>
    </row>
    <row r="4" spans="1:10" x14ac:dyDescent="0.25">
      <c r="B4" s="16" t="s">
        <v>58</v>
      </c>
      <c r="D4" s="17">
        <v>225</v>
      </c>
      <c r="E4" s="17">
        <v>225</v>
      </c>
      <c r="F4" s="51" t="e">
        <f>D4*Student!D27</f>
        <v>#N/A</v>
      </c>
      <c r="G4" s="16" t="e">
        <f>E4*Student!D32</f>
        <v>#N/A</v>
      </c>
      <c r="H4" s="16" t="e">
        <f>E4*Student!D37</f>
        <v>#N/A</v>
      </c>
      <c r="I4" s="16" t="e">
        <f>E4*Student!D42</f>
        <v>#N/A</v>
      </c>
      <c r="J4" s="16" t="e">
        <f>E4*Student!D47</f>
        <v>#N/A</v>
      </c>
    </row>
    <row r="5" spans="1:10" x14ac:dyDescent="0.25">
      <c r="A5" s="18"/>
      <c r="B5" s="18"/>
      <c r="C5" s="18"/>
    </row>
    <row r="6" spans="1:10" ht="42.75" x14ac:dyDescent="0.25">
      <c r="A6" s="19" t="s">
        <v>59</v>
      </c>
      <c r="B6" s="19" t="s">
        <v>60</v>
      </c>
      <c r="C6" s="18" t="s">
        <v>61</v>
      </c>
    </row>
    <row r="7" spans="1:10" x14ac:dyDescent="0.25">
      <c r="A7" s="61" t="s">
        <v>95</v>
      </c>
      <c r="B7" s="20">
        <f>C7/10</f>
        <v>1307.7</v>
      </c>
      <c r="C7" s="62">
        <f>'Sheet 1'!B2</f>
        <v>13077</v>
      </c>
    </row>
    <row r="8" spans="1:10" x14ac:dyDescent="0.25">
      <c r="A8" s="61" t="s">
        <v>96</v>
      </c>
      <c r="B8" s="20">
        <f t="shared" ref="B8:B40" si="0">C8/10</f>
        <v>1371</v>
      </c>
      <c r="C8" s="62">
        <f>'Sheet 1'!B3</f>
        <v>13710</v>
      </c>
    </row>
    <row r="9" spans="1:10" x14ac:dyDescent="0.25">
      <c r="A9" s="61" t="s">
        <v>97</v>
      </c>
      <c r="B9" s="20">
        <f t="shared" si="0"/>
        <v>1177.5999999999999</v>
      </c>
      <c r="C9" s="62">
        <f>'Sheet 1'!B4</f>
        <v>11776</v>
      </c>
    </row>
    <row r="10" spans="1:10" x14ac:dyDescent="0.25">
      <c r="A10" s="61" t="s">
        <v>98</v>
      </c>
      <c r="B10" s="20">
        <f t="shared" si="0"/>
        <v>1854.9666666666667</v>
      </c>
      <c r="C10" s="62">
        <f>'Sheet 1'!B5</f>
        <v>18549.666666666668</v>
      </c>
    </row>
    <row r="11" spans="1:10" x14ac:dyDescent="0.25">
      <c r="A11" s="61" t="s">
        <v>99</v>
      </c>
      <c r="B11" s="20">
        <f t="shared" si="0"/>
        <v>1379.2888888888888</v>
      </c>
      <c r="C11" s="62">
        <f>'Sheet 1'!B6</f>
        <v>13792.888888888889</v>
      </c>
    </row>
    <row r="12" spans="1:10" x14ac:dyDescent="0.25">
      <c r="A12" s="61" t="s">
        <v>100</v>
      </c>
      <c r="B12" s="20">
        <f t="shared" si="0"/>
        <v>1986.4</v>
      </c>
      <c r="C12" s="62">
        <f>'Sheet 1'!B7</f>
        <v>19864</v>
      </c>
    </row>
    <row r="13" spans="1:10" x14ac:dyDescent="0.25">
      <c r="A13" s="61" t="s">
        <v>101</v>
      </c>
      <c r="B13" s="20">
        <f t="shared" si="0"/>
        <v>2247.9571428571426</v>
      </c>
      <c r="C13" s="62">
        <f>'Sheet 1'!B8</f>
        <v>22479.571428571428</v>
      </c>
    </row>
    <row r="14" spans="1:10" x14ac:dyDescent="0.25">
      <c r="A14" s="61" t="s">
        <v>102</v>
      </c>
      <c r="B14" s="20">
        <f t="shared" si="0"/>
        <v>2199.728260869565</v>
      </c>
      <c r="C14" s="62">
        <f>'Sheet 1'!B9</f>
        <v>21997.282608695652</v>
      </c>
    </row>
    <row r="15" spans="1:10" x14ac:dyDescent="0.25">
      <c r="A15" s="61" t="s">
        <v>103</v>
      </c>
      <c r="B15" s="20">
        <f t="shared" si="0"/>
        <v>2076.9384615384615</v>
      </c>
      <c r="C15" s="62">
        <f>'Sheet 1'!B10</f>
        <v>20769.384615384617</v>
      </c>
    </row>
    <row r="16" spans="1:10" x14ac:dyDescent="0.25">
      <c r="A16" s="61" t="s">
        <v>104</v>
      </c>
      <c r="B16" s="20">
        <f t="shared" si="0"/>
        <v>2301</v>
      </c>
      <c r="C16" s="62">
        <f>'Sheet 1'!B11</f>
        <v>23010</v>
      </c>
    </row>
    <row r="17" spans="1:3" x14ac:dyDescent="0.25">
      <c r="A17" s="61" t="s">
        <v>105</v>
      </c>
      <c r="B17" s="20">
        <f t="shared" si="0"/>
        <v>1864.1352941176472</v>
      </c>
      <c r="C17" s="62">
        <f>'Sheet 1'!B12</f>
        <v>18641.352941176472</v>
      </c>
    </row>
    <row r="18" spans="1:3" x14ac:dyDescent="0.25">
      <c r="A18" s="61" t="s">
        <v>106</v>
      </c>
      <c r="B18" s="20">
        <f t="shared" si="0"/>
        <v>1559.2874999999999</v>
      </c>
      <c r="C18" s="62">
        <f>'Sheet 1'!B13</f>
        <v>15592.875</v>
      </c>
    </row>
    <row r="19" spans="1:3" x14ac:dyDescent="0.25">
      <c r="A19" s="61" t="s">
        <v>107</v>
      </c>
      <c r="B19" s="20">
        <f t="shared" si="0"/>
        <v>1741.58</v>
      </c>
      <c r="C19" s="62">
        <f>'Sheet 1'!B14</f>
        <v>17415.8</v>
      </c>
    </row>
    <row r="20" spans="1:3" x14ac:dyDescent="0.25">
      <c r="A20" s="61" t="s">
        <v>108</v>
      </c>
      <c r="B20" s="20">
        <f t="shared" si="0"/>
        <v>1988.3347826086956</v>
      </c>
      <c r="C20" s="62">
        <f>'Sheet 1'!B15</f>
        <v>19883.347826086956</v>
      </c>
    </row>
    <row r="21" spans="1:3" x14ac:dyDescent="0.25">
      <c r="A21" s="61" t="s">
        <v>109</v>
      </c>
      <c r="B21" s="20">
        <f t="shared" si="0"/>
        <v>1678.7</v>
      </c>
      <c r="C21" s="62">
        <f>'Sheet 1'!B16</f>
        <v>16787</v>
      </c>
    </row>
    <row r="22" spans="1:3" x14ac:dyDescent="0.25">
      <c r="A22" s="61" t="s">
        <v>110</v>
      </c>
      <c r="B22" s="20">
        <f t="shared" si="0"/>
        <v>2111</v>
      </c>
      <c r="C22" s="62">
        <f>'Sheet 1'!B17</f>
        <v>21110</v>
      </c>
    </row>
    <row r="23" spans="1:3" x14ac:dyDescent="0.25">
      <c r="A23" s="61" t="s">
        <v>111</v>
      </c>
      <c r="B23" s="20">
        <f t="shared" si="0"/>
        <v>2239.409090909091</v>
      </c>
      <c r="C23" s="62">
        <f>'Sheet 1'!B18</f>
        <v>22394.090909090908</v>
      </c>
    </row>
    <row r="24" spans="1:3" x14ac:dyDescent="0.25">
      <c r="A24" s="61" t="s">
        <v>112</v>
      </c>
      <c r="B24" s="20">
        <f t="shared" si="0"/>
        <v>1832.6181818181819</v>
      </c>
      <c r="C24" s="62">
        <f>'Sheet 1'!B19</f>
        <v>18326.18181818182</v>
      </c>
    </row>
    <row r="25" spans="1:3" x14ac:dyDescent="0.25">
      <c r="A25" s="61" t="s">
        <v>113</v>
      </c>
      <c r="B25" s="20">
        <f t="shared" si="0"/>
        <v>1691.7599999999998</v>
      </c>
      <c r="C25" s="62">
        <f>'Sheet 1'!B20</f>
        <v>16917.599999999999</v>
      </c>
    </row>
    <row r="26" spans="1:3" x14ac:dyDescent="0.25">
      <c r="A26" s="61" t="s">
        <v>114</v>
      </c>
      <c r="B26" s="20">
        <f t="shared" si="0"/>
        <v>1837.6</v>
      </c>
      <c r="C26" s="62">
        <f>'Sheet 1'!B21</f>
        <v>18376</v>
      </c>
    </row>
    <row r="27" spans="1:3" x14ac:dyDescent="0.25">
      <c r="A27" s="61" t="s">
        <v>115</v>
      </c>
      <c r="B27" s="20">
        <f t="shared" si="0"/>
        <v>2123.9058823529413</v>
      </c>
      <c r="C27" s="62">
        <f>'Sheet 1'!B22</f>
        <v>21239.058823529413</v>
      </c>
    </row>
    <row r="28" spans="1:3" x14ac:dyDescent="0.25">
      <c r="A28" s="61" t="s">
        <v>116</v>
      </c>
      <c r="B28" s="20">
        <f t="shared" si="0"/>
        <v>1968.1166666666668</v>
      </c>
      <c r="C28" s="62">
        <f>'Sheet 1'!B23</f>
        <v>19681.166666666668</v>
      </c>
    </row>
    <row r="29" spans="1:3" x14ac:dyDescent="0.25">
      <c r="A29" s="61" t="s">
        <v>117</v>
      </c>
      <c r="B29" s="20">
        <f t="shared" si="0"/>
        <v>2140.7400000000002</v>
      </c>
      <c r="C29" s="62">
        <f>'Sheet 1'!B24</f>
        <v>21407.4</v>
      </c>
    </row>
    <row r="30" spans="1:3" x14ac:dyDescent="0.25">
      <c r="A30" s="61" t="s">
        <v>118</v>
      </c>
      <c r="B30" s="20">
        <f t="shared" si="0"/>
        <v>1901</v>
      </c>
      <c r="C30" s="62">
        <f>'Sheet 1'!B25</f>
        <v>19010</v>
      </c>
    </row>
    <row r="31" spans="1:3" x14ac:dyDescent="0.25">
      <c r="A31" s="61" t="s">
        <v>119</v>
      </c>
      <c r="B31" s="20">
        <f t="shared" si="0"/>
        <v>1198.8</v>
      </c>
      <c r="C31" s="62">
        <f>'Sheet 1'!B26</f>
        <v>11988</v>
      </c>
    </row>
    <row r="32" spans="1:3" x14ac:dyDescent="0.25">
      <c r="A32" s="61" t="s">
        <v>120</v>
      </c>
      <c r="B32" s="20">
        <f t="shared" si="0"/>
        <v>1246.170588235294</v>
      </c>
      <c r="C32" s="62">
        <f>'Sheet 1'!B27</f>
        <v>12461.705882352941</v>
      </c>
    </row>
    <row r="33" spans="1:10" x14ac:dyDescent="0.25">
      <c r="A33" s="61" t="s">
        <v>121</v>
      </c>
      <c r="B33" s="20">
        <f>C33/10</f>
        <v>2095.9</v>
      </c>
      <c r="C33" s="62">
        <f>'Sheet 1'!B28</f>
        <v>20959</v>
      </c>
    </row>
    <row r="34" spans="1:10" x14ac:dyDescent="0.25">
      <c r="A34" s="61" t="s">
        <v>122</v>
      </c>
      <c r="B34" s="20">
        <f t="shared" si="0"/>
        <v>1853.9428571428573</v>
      </c>
      <c r="C34" s="62">
        <f>'Sheet 1'!B29</f>
        <v>18539.428571428572</v>
      </c>
    </row>
    <row r="35" spans="1:10" x14ac:dyDescent="0.25">
      <c r="A35" s="61" t="s">
        <v>123</v>
      </c>
      <c r="B35" s="20">
        <f t="shared" si="0"/>
        <v>2061.6999999999998</v>
      </c>
      <c r="C35" s="62">
        <f>'Sheet 1'!B30</f>
        <v>20617</v>
      </c>
    </row>
    <row r="36" spans="1:10" x14ac:dyDescent="0.25">
      <c r="A36" s="61" t="s">
        <v>124</v>
      </c>
      <c r="B36" s="20">
        <f t="shared" si="0"/>
        <v>1919.1</v>
      </c>
      <c r="C36" s="62">
        <f>'Sheet 1'!B31</f>
        <v>19191</v>
      </c>
    </row>
    <row r="37" spans="1:10" x14ac:dyDescent="0.25">
      <c r="A37" s="61" t="s">
        <v>125</v>
      </c>
      <c r="B37" s="20">
        <f t="shared" si="0"/>
        <v>780</v>
      </c>
      <c r="C37" s="62">
        <f>'Sheet 1'!B32</f>
        <v>7800</v>
      </c>
    </row>
    <row r="38" spans="1:10" x14ac:dyDescent="0.25">
      <c r="A38" s="61" t="s">
        <v>126</v>
      </c>
      <c r="B38" s="20">
        <f t="shared" si="0"/>
        <v>1620.2</v>
      </c>
      <c r="C38" s="62">
        <f>'Sheet 1'!B33</f>
        <v>16202</v>
      </c>
    </row>
    <row r="39" spans="1:10" x14ac:dyDescent="0.25">
      <c r="A39" s="61" t="s">
        <v>127</v>
      </c>
      <c r="B39" s="20">
        <f t="shared" si="0"/>
        <v>1357.1</v>
      </c>
      <c r="C39" s="62">
        <f>'Sheet 1'!B34</f>
        <v>13571</v>
      </c>
    </row>
    <row r="40" spans="1:10" x14ac:dyDescent="0.25">
      <c r="A40" s="61" t="s">
        <v>94</v>
      </c>
      <c r="B40" s="20">
        <f t="shared" si="0"/>
        <v>2831</v>
      </c>
      <c r="C40" s="62">
        <f>'Sheet 1'!B35</f>
        <v>28310</v>
      </c>
    </row>
    <row r="41" spans="1:10" x14ac:dyDescent="0.25">
      <c r="A41" s="19"/>
      <c r="B41" s="20"/>
      <c r="C41" s="21"/>
    </row>
    <row r="42" spans="1:10" ht="42.75" customHeight="1" x14ac:dyDescent="0.25">
      <c r="A42" s="22" t="s">
        <v>62</v>
      </c>
      <c r="B42" s="23" t="s">
        <v>43</v>
      </c>
      <c r="C42" s="23" t="s">
        <v>63</v>
      </c>
      <c r="D42" s="24"/>
      <c r="E42" s="23" t="s">
        <v>64</v>
      </c>
      <c r="F42" s="25"/>
      <c r="G42" s="23"/>
      <c r="H42" s="23"/>
      <c r="I42" s="26"/>
      <c r="J42" s="26"/>
    </row>
    <row r="43" spans="1:10" ht="13.5" customHeight="1" x14ac:dyDescent="0.25">
      <c r="A43" s="27">
        <v>0</v>
      </c>
      <c r="B43" s="23">
        <v>0</v>
      </c>
      <c r="C43" s="23">
        <v>0</v>
      </c>
      <c r="D43" s="24"/>
      <c r="E43" s="23"/>
      <c r="F43" s="25"/>
      <c r="G43" s="23"/>
      <c r="H43" s="23"/>
      <c r="I43" s="26"/>
      <c r="J43" s="26"/>
    </row>
    <row r="44" spans="1:10" x14ac:dyDescent="0.25">
      <c r="A44" s="28">
        <v>1</v>
      </c>
      <c r="B44" s="29">
        <v>291.18</v>
      </c>
      <c r="C44" s="30">
        <f>L59+E44</f>
        <v>138.20000000000002</v>
      </c>
      <c r="D44" s="31"/>
      <c r="E44" s="29">
        <v>12.91</v>
      </c>
      <c r="F44" s="32"/>
      <c r="G44" s="30"/>
      <c r="H44" s="33"/>
      <c r="I44" s="26"/>
      <c r="J44" s="34"/>
    </row>
    <row r="45" spans="1:10" x14ac:dyDescent="0.25">
      <c r="A45" s="28">
        <v>2</v>
      </c>
      <c r="B45" s="29">
        <v>582.36</v>
      </c>
      <c r="C45" s="30">
        <f t="shared" ref="C45:C55" si="1">L60+E45</f>
        <v>177.84999999999997</v>
      </c>
      <c r="D45" s="31"/>
      <c r="E45" s="29">
        <v>25.82</v>
      </c>
      <c r="F45" s="32"/>
      <c r="G45" s="30"/>
      <c r="H45" s="33"/>
      <c r="I45" s="26"/>
      <c r="J45" s="34"/>
    </row>
    <row r="46" spans="1:10" x14ac:dyDescent="0.25">
      <c r="A46" s="28">
        <v>3</v>
      </c>
      <c r="B46" s="29">
        <v>873.54</v>
      </c>
      <c r="C46" s="30">
        <f t="shared" si="1"/>
        <v>217.49999999999997</v>
      </c>
      <c r="D46" s="31"/>
      <c r="E46" s="29">
        <v>38.729999999999997</v>
      </c>
      <c r="F46" s="35"/>
      <c r="G46" s="30"/>
      <c r="H46" s="33"/>
      <c r="I46" s="26"/>
      <c r="J46" s="34"/>
    </row>
    <row r="47" spans="1:10" x14ac:dyDescent="0.25">
      <c r="A47" s="28">
        <v>4</v>
      </c>
      <c r="B47" s="29">
        <v>1164.72</v>
      </c>
      <c r="C47" s="30">
        <f t="shared" si="1"/>
        <v>257.14999999999998</v>
      </c>
      <c r="D47" s="31"/>
      <c r="E47" s="29">
        <v>51.64</v>
      </c>
      <c r="F47" s="35"/>
      <c r="G47" s="30"/>
      <c r="H47" s="33"/>
      <c r="I47" s="26"/>
      <c r="J47" s="26"/>
    </row>
    <row r="48" spans="1:10" x14ac:dyDescent="0.25">
      <c r="A48" s="28">
        <v>5</v>
      </c>
      <c r="B48" s="29">
        <v>1455.9</v>
      </c>
      <c r="C48" s="30">
        <f t="shared" si="1"/>
        <v>296.8</v>
      </c>
      <c r="D48" s="31"/>
      <c r="E48" s="29">
        <v>64.55</v>
      </c>
      <c r="F48" s="35"/>
      <c r="G48" s="30"/>
      <c r="H48" s="33"/>
      <c r="I48" s="26"/>
      <c r="J48" s="26"/>
    </row>
    <row r="49" spans="1:13" x14ac:dyDescent="0.25">
      <c r="A49" s="28">
        <v>6</v>
      </c>
      <c r="B49" s="29">
        <v>1747.08</v>
      </c>
      <c r="C49" s="30">
        <f t="shared" si="1"/>
        <v>336.45</v>
      </c>
      <c r="D49" s="31"/>
      <c r="E49" s="29">
        <v>77.459999999999994</v>
      </c>
      <c r="F49" s="35"/>
      <c r="G49" s="30"/>
      <c r="H49" s="33"/>
      <c r="I49" s="26"/>
      <c r="J49" s="26"/>
    </row>
    <row r="50" spans="1:13" x14ac:dyDescent="0.25">
      <c r="A50" s="28">
        <v>7</v>
      </c>
      <c r="B50" s="29">
        <v>2038.26</v>
      </c>
      <c r="C50" s="30">
        <f t="shared" si="1"/>
        <v>908.03</v>
      </c>
      <c r="D50" s="31"/>
      <c r="E50" s="29">
        <v>90.37</v>
      </c>
      <c r="F50" s="35"/>
      <c r="G50" s="30"/>
      <c r="H50" s="33"/>
      <c r="I50" s="26"/>
      <c r="J50" s="26"/>
    </row>
    <row r="51" spans="1:13" x14ac:dyDescent="0.25">
      <c r="A51" s="28">
        <v>8</v>
      </c>
      <c r="B51" s="29">
        <f t="shared" ref="B51:B52" si="2">282.7*A51</f>
        <v>2261.6</v>
      </c>
      <c r="C51" s="30">
        <f t="shared" si="1"/>
        <v>947.68000000000006</v>
      </c>
      <c r="D51" s="31"/>
      <c r="E51" s="29">
        <v>103.28</v>
      </c>
      <c r="F51" s="35"/>
      <c r="G51" s="30"/>
      <c r="H51" s="33"/>
      <c r="I51" s="26"/>
      <c r="J51" s="26"/>
    </row>
    <row r="52" spans="1:13" x14ac:dyDescent="0.25">
      <c r="A52" s="28">
        <v>9</v>
      </c>
      <c r="B52" s="29">
        <f t="shared" si="2"/>
        <v>2544.2999999999997</v>
      </c>
      <c r="C52" s="30">
        <f t="shared" si="1"/>
        <v>987.33000000000015</v>
      </c>
      <c r="D52" s="31"/>
      <c r="E52" s="29">
        <v>116.19</v>
      </c>
      <c r="F52" s="35"/>
      <c r="G52" s="30"/>
      <c r="H52" s="33"/>
      <c r="I52" s="26"/>
      <c r="J52" s="26"/>
    </row>
    <row r="53" spans="1:13" x14ac:dyDescent="0.25">
      <c r="A53" s="28">
        <v>10</v>
      </c>
      <c r="B53" s="29">
        <f>291.18*A53</f>
        <v>2911.8</v>
      </c>
      <c r="C53" s="30">
        <f t="shared" si="1"/>
        <v>1026.98</v>
      </c>
      <c r="D53" s="31"/>
      <c r="E53" s="29">
        <v>129.1</v>
      </c>
      <c r="F53" s="35"/>
      <c r="G53" s="30"/>
      <c r="H53" s="33"/>
      <c r="I53" s="26"/>
      <c r="J53" s="26"/>
    </row>
    <row r="54" spans="1:13" x14ac:dyDescent="0.25">
      <c r="A54" s="28">
        <v>11</v>
      </c>
      <c r="B54" s="29">
        <f>291.18*A54</f>
        <v>3202.98</v>
      </c>
      <c r="C54" s="30">
        <f t="shared" si="1"/>
        <v>1066.6300000000001</v>
      </c>
      <c r="D54" s="31"/>
      <c r="E54" s="29">
        <v>142.01</v>
      </c>
      <c r="F54" s="35"/>
      <c r="G54" s="30"/>
      <c r="H54" s="33"/>
      <c r="I54" s="26"/>
      <c r="J54" s="26"/>
    </row>
    <row r="55" spans="1:13" x14ac:dyDescent="0.25">
      <c r="A55" s="28" t="s">
        <v>65</v>
      </c>
      <c r="B55" s="29">
        <f>IF(A55="12+",291.18*12,0)</f>
        <v>3494.16</v>
      </c>
      <c r="C55" s="30">
        <f t="shared" si="1"/>
        <v>1106.28</v>
      </c>
      <c r="D55" s="31"/>
      <c r="E55" s="29">
        <v>154.91999999999999</v>
      </c>
      <c r="F55" s="35"/>
      <c r="G55" s="30"/>
      <c r="H55" s="33"/>
      <c r="I55" s="26"/>
      <c r="J55" s="26"/>
    </row>
    <row r="56" spans="1:13" x14ac:dyDescent="0.25">
      <c r="A56" s="36"/>
      <c r="B56" s="35"/>
      <c r="C56" s="32"/>
      <c r="D56" s="35"/>
      <c r="E56" s="35"/>
      <c r="F56" s="35"/>
      <c r="G56" s="26"/>
      <c r="H56" s="26"/>
      <c r="I56" s="26"/>
      <c r="J56" s="26"/>
      <c r="K56" s="26"/>
      <c r="L56" s="26"/>
    </row>
    <row r="57" spans="1:13" x14ac:dyDescent="0.25">
      <c r="A57" s="37" t="s">
        <v>66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</row>
    <row r="58" spans="1:13" s="38" customFormat="1" ht="57" x14ac:dyDescent="0.25">
      <c r="A58" s="38" t="s">
        <v>62</v>
      </c>
      <c r="B58" s="27" t="s">
        <v>67</v>
      </c>
      <c r="C58" s="27" t="s">
        <v>68</v>
      </c>
      <c r="D58" s="27" t="s">
        <v>69</v>
      </c>
      <c r="E58" s="27" t="s">
        <v>70</v>
      </c>
      <c r="F58" s="27" t="s">
        <v>71</v>
      </c>
      <c r="G58" s="27" t="s">
        <v>72</v>
      </c>
      <c r="H58" s="27" t="s">
        <v>73</v>
      </c>
      <c r="I58" s="27" t="s">
        <v>74</v>
      </c>
      <c r="J58" s="27" t="s">
        <v>75</v>
      </c>
      <c r="K58" s="27" t="s">
        <v>76</v>
      </c>
      <c r="L58" s="27" t="s">
        <v>77</v>
      </c>
    </row>
    <row r="59" spans="1:13" x14ac:dyDescent="0.25">
      <c r="A59" s="39">
        <v>1</v>
      </c>
      <c r="B59" s="29">
        <v>30</v>
      </c>
      <c r="C59" s="29">
        <v>23.03</v>
      </c>
      <c r="D59" s="29">
        <v>7.89</v>
      </c>
      <c r="E59" s="29">
        <v>3.93</v>
      </c>
      <c r="F59" s="29">
        <v>0</v>
      </c>
      <c r="G59" s="29">
        <v>0</v>
      </c>
      <c r="H59" s="29">
        <v>4.6500000000000004</v>
      </c>
      <c r="I59" s="29">
        <v>4.09</v>
      </c>
      <c r="J59" s="29">
        <v>51.7</v>
      </c>
      <c r="K59" s="29">
        <v>0</v>
      </c>
      <c r="L59" s="30">
        <f t="shared" ref="L59:L70" si="3">SUM(B59:K59)</f>
        <v>125.29000000000002</v>
      </c>
      <c r="M59" s="40"/>
    </row>
    <row r="60" spans="1:13" x14ac:dyDescent="0.25">
      <c r="A60" s="39">
        <v>2</v>
      </c>
      <c r="B60" s="29">
        <v>30</v>
      </c>
      <c r="C60" s="29">
        <v>29.21</v>
      </c>
      <c r="D60" s="29">
        <v>15.78</v>
      </c>
      <c r="E60" s="29">
        <v>7.86</v>
      </c>
      <c r="F60" s="29">
        <v>0</v>
      </c>
      <c r="G60" s="29">
        <v>0</v>
      </c>
      <c r="H60" s="29">
        <v>9.3000000000000007</v>
      </c>
      <c r="I60" s="29">
        <v>8.18</v>
      </c>
      <c r="J60" s="29">
        <v>51.7</v>
      </c>
      <c r="K60" s="29">
        <v>0</v>
      </c>
      <c r="L60" s="30">
        <f t="shared" si="3"/>
        <v>152.02999999999997</v>
      </c>
      <c r="M60" s="40"/>
    </row>
    <row r="61" spans="1:13" x14ac:dyDescent="0.25">
      <c r="A61" s="39">
        <v>3</v>
      </c>
      <c r="B61" s="29">
        <v>30</v>
      </c>
      <c r="C61" s="29">
        <v>35.39</v>
      </c>
      <c r="D61" s="29">
        <v>23.67</v>
      </c>
      <c r="E61" s="29">
        <v>11.79</v>
      </c>
      <c r="F61" s="29">
        <v>0</v>
      </c>
      <c r="G61" s="29">
        <v>0</v>
      </c>
      <c r="H61" s="29">
        <v>13.95</v>
      </c>
      <c r="I61" s="29">
        <v>12.27</v>
      </c>
      <c r="J61" s="29">
        <v>51.7</v>
      </c>
      <c r="K61" s="29">
        <v>0</v>
      </c>
      <c r="L61" s="30">
        <f t="shared" si="3"/>
        <v>178.76999999999998</v>
      </c>
      <c r="M61" s="40"/>
    </row>
    <row r="62" spans="1:13" x14ac:dyDescent="0.25">
      <c r="A62" s="39">
        <v>4</v>
      </c>
      <c r="B62" s="29">
        <v>30</v>
      </c>
      <c r="C62" s="29">
        <v>41.57</v>
      </c>
      <c r="D62" s="29">
        <v>31.56</v>
      </c>
      <c r="E62" s="29">
        <v>15.72</v>
      </c>
      <c r="F62" s="29">
        <v>0</v>
      </c>
      <c r="G62" s="29">
        <v>0</v>
      </c>
      <c r="H62" s="29">
        <v>18.600000000000001</v>
      </c>
      <c r="I62" s="29">
        <v>16.36</v>
      </c>
      <c r="J62" s="29">
        <v>51.7</v>
      </c>
      <c r="K62" s="29">
        <v>0</v>
      </c>
      <c r="L62" s="30">
        <f t="shared" si="3"/>
        <v>205.51</v>
      </c>
      <c r="M62" s="40"/>
    </row>
    <row r="63" spans="1:13" x14ac:dyDescent="0.25">
      <c r="A63" s="39">
        <v>5</v>
      </c>
      <c r="B63" s="29">
        <v>30</v>
      </c>
      <c r="C63" s="29">
        <v>47.75</v>
      </c>
      <c r="D63" s="29">
        <v>39.450000000000003</v>
      </c>
      <c r="E63" s="29">
        <v>19.649999999999999</v>
      </c>
      <c r="F63" s="29">
        <v>0</v>
      </c>
      <c r="G63" s="29">
        <v>0</v>
      </c>
      <c r="H63" s="29">
        <v>23.25</v>
      </c>
      <c r="I63" s="29">
        <v>20.45</v>
      </c>
      <c r="J63" s="29">
        <v>51.7</v>
      </c>
      <c r="K63" s="29">
        <v>0</v>
      </c>
      <c r="L63" s="30">
        <f t="shared" si="3"/>
        <v>232.25</v>
      </c>
      <c r="M63" s="40"/>
    </row>
    <row r="64" spans="1:13" x14ac:dyDescent="0.25">
      <c r="A64" s="39">
        <v>6</v>
      </c>
      <c r="B64" s="29">
        <v>30</v>
      </c>
      <c r="C64" s="29">
        <v>53.93</v>
      </c>
      <c r="D64" s="29">
        <v>47.34</v>
      </c>
      <c r="E64" s="29">
        <v>23.58</v>
      </c>
      <c r="F64" s="29">
        <v>0</v>
      </c>
      <c r="G64" s="29">
        <v>0</v>
      </c>
      <c r="H64" s="29">
        <v>27.9</v>
      </c>
      <c r="I64" s="29">
        <v>24.54</v>
      </c>
      <c r="J64" s="29">
        <v>51.7</v>
      </c>
      <c r="K64" s="29">
        <v>0</v>
      </c>
      <c r="L64" s="30">
        <f t="shared" si="3"/>
        <v>258.99</v>
      </c>
      <c r="M64" s="40"/>
    </row>
    <row r="65" spans="1:14" x14ac:dyDescent="0.25">
      <c r="A65" s="39">
        <v>7</v>
      </c>
      <c r="B65" s="29">
        <v>30</v>
      </c>
      <c r="C65" s="29">
        <v>60.11</v>
      </c>
      <c r="D65" s="29">
        <v>113.51</v>
      </c>
      <c r="E65" s="29">
        <v>27.51</v>
      </c>
      <c r="F65" s="29">
        <v>125.65</v>
      </c>
      <c r="G65" s="29">
        <v>263.25</v>
      </c>
      <c r="H65" s="29">
        <v>32.549999999999997</v>
      </c>
      <c r="I65" s="29">
        <v>28.63</v>
      </c>
      <c r="J65" s="29">
        <v>51.7</v>
      </c>
      <c r="K65" s="29">
        <v>84.75</v>
      </c>
      <c r="L65" s="30">
        <f t="shared" si="3"/>
        <v>817.66</v>
      </c>
      <c r="M65" s="40"/>
      <c r="N65" s="40"/>
    </row>
    <row r="66" spans="1:14" x14ac:dyDescent="0.25">
      <c r="A66" s="39">
        <v>8</v>
      </c>
      <c r="B66" s="29">
        <v>30</v>
      </c>
      <c r="C66" s="29">
        <v>66.290000000000006</v>
      </c>
      <c r="D66" s="29">
        <v>121.4</v>
      </c>
      <c r="E66" s="29">
        <v>31.44</v>
      </c>
      <c r="F66" s="29">
        <v>125.65</v>
      </c>
      <c r="G66" s="29">
        <v>263.25</v>
      </c>
      <c r="H66" s="29">
        <v>37.200000000000003</v>
      </c>
      <c r="I66" s="29">
        <v>32.72</v>
      </c>
      <c r="J66" s="29">
        <v>51.7</v>
      </c>
      <c r="K66" s="29">
        <v>84.75</v>
      </c>
      <c r="L66" s="30">
        <f t="shared" si="3"/>
        <v>844.40000000000009</v>
      </c>
      <c r="M66" s="40"/>
    </row>
    <row r="67" spans="1:14" x14ac:dyDescent="0.25">
      <c r="A67" s="39">
        <v>9</v>
      </c>
      <c r="B67" s="29">
        <v>30</v>
      </c>
      <c r="C67" s="29">
        <v>72.47</v>
      </c>
      <c r="D67" s="29">
        <v>129.29</v>
      </c>
      <c r="E67" s="29">
        <v>35.369999999999997</v>
      </c>
      <c r="F67" s="29">
        <v>125.65</v>
      </c>
      <c r="G67" s="29">
        <v>263.25</v>
      </c>
      <c r="H67" s="29">
        <v>41.85</v>
      </c>
      <c r="I67" s="29">
        <v>36.81</v>
      </c>
      <c r="J67" s="29">
        <v>51.7</v>
      </c>
      <c r="K67" s="29">
        <v>84.75</v>
      </c>
      <c r="L67" s="30">
        <f t="shared" si="3"/>
        <v>871.1400000000001</v>
      </c>
      <c r="M67" s="40"/>
    </row>
    <row r="68" spans="1:14" x14ac:dyDescent="0.25">
      <c r="A68" s="39">
        <v>10</v>
      </c>
      <c r="B68" s="29">
        <v>30</v>
      </c>
      <c r="C68" s="29">
        <v>78.650000000000006</v>
      </c>
      <c r="D68" s="29">
        <v>137.18</v>
      </c>
      <c r="E68" s="29">
        <v>39.299999999999997</v>
      </c>
      <c r="F68" s="29">
        <v>125.65</v>
      </c>
      <c r="G68" s="29">
        <v>263.25</v>
      </c>
      <c r="H68" s="29">
        <v>46.5</v>
      </c>
      <c r="I68" s="29">
        <v>40.9</v>
      </c>
      <c r="J68" s="29">
        <v>51.7</v>
      </c>
      <c r="K68" s="29">
        <v>84.75</v>
      </c>
      <c r="L68" s="30">
        <f t="shared" si="3"/>
        <v>897.88</v>
      </c>
      <c r="M68" s="40"/>
    </row>
    <row r="69" spans="1:14" x14ac:dyDescent="0.25">
      <c r="A69" s="39">
        <v>11</v>
      </c>
      <c r="B69" s="29">
        <v>30</v>
      </c>
      <c r="C69" s="29">
        <v>84.83</v>
      </c>
      <c r="D69" s="29">
        <v>145.07</v>
      </c>
      <c r="E69" s="29">
        <v>43.23</v>
      </c>
      <c r="F69" s="29">
        <v>125.65</v>
      </c>
      <c r="G69" s="29">
        <v>263.25</v>
      </c>
      <c r="H69" s="29">
        <v>51.15</v>
      </c>
      <c r="I69" s="29">
        <v>44.99</v>
      </c>
      <c r="J69" s="29">
        <v>51.7</v>
      </c>
      <c r="K69" s="29">
        <v>84.75</v>
      </c>
      <c r="L69" s="30">
        <f t="shared" si="3"/>
        <v>924.62</v>
      </c>
      <c r="M69" s="40"/>
    </row>
    <row r="70" spans="1:14" x14ac:dyDescent="0.25">
      <c r="A70" s="41">
        <v>12</v>
      </c>
      <c r="B70" s="29">
        <v>30</v>
      </c>
      <c r="C70" s="29">
        <v>91.01</v>
      </c>
      <c r="D70" s="29">
        <v>152.96</v>
      </c>
      <c r="E70" s="29">
        <v>47.16</v>
      </c>
      <c r="F70" s="29">
        <v>125.65</v>
      </c>
      <c r="G70" s="29">
        <v>263.25</v>
      </c>
      <c r="H70" s="29">
        <v>55.8</v>
      </c>
      <c r="I70" s="29">
        <v>49.08</v>
      </c>
      <c r="J70" s="29">
        <v>51.7</v>
      </c>
      <c r="K70" s="29">
        <v>84.75</v>
      </c>
      <c r="L70" s="30">
        <f t="shared" si="3"/>
        <v>951.36</v>
      </c>
      <c r="M70" s="40"/>
    </row>
    <row r="72" spans="1:14" ht="30" x14ac:dyDescent="0.25">
      <c r="B72" s="42" t="s">
        <v>78</v>
      </c>
      <c r="C72" s="42" t="s">
        <v>79</v>
      </c>
      <c r="D72" s="43"/>
      <c r="E72" s="44"/>
      <c r="F72" s="43"/>
      <c r="G72" s="45"/>
      <c r="H72" s="45"/>
      <c r="I72" s="45"/>
      <c r="J72" s="45"/>
      <c r="K72" s="45"/>
    </row>
    <row r="73" spans="1:14" x14ac:dyDescent="0.25">
      <c r="A73" s="16" t="s">
        <v>80</v>
      </c>
      <c r="B73" s="16">
        <v>0</v>
      </c>
      <c r="C73" s="16">
        <v>2</v>
      </c>
    </row>
    <row r="74" spans="1:14" x14ac:dyDescent="0.25">
      <c r="A74" s="16" t="s">
        <v>81</v>
      </c>
      <c r="B74" s="16">
        <v>5</v>
      </c>
      <c r="C74" s="16">
        <v>0</v>
      </c>
    </row>
    <row r="75" spans="1:14" x14ac:dyDescent="0.25">
      <c r="A75" s="16" t="s">
        <v>82</v>
      </c>
      <c r="B75" s="16">
        <v>5</v>
      </c>
      <c r="C75" s="16">
        <v>2</v>
      </c>
    </row>
    <row r="76" spans="1:14" x14ac:dyDescent="0.25">
      <c r="A76" s="16" t="s">
        <v>83</v>
      </c>
      <c r="B76" s="16">
        <v>10</v>
      </c>
      <c r="C76" s="16">
        <v>0</v>
      </c>
    </row>
    <row r="77" spans="1:14" x14ac:dyDescent="0.25">
      <c r="A77" s="16" t="s">
        <v>84</v>
      </c>
      <c r="B77" s="16">
        <v>10</v>
      </c>
      <c r="C77" s="16">
        <v>2</v>
      </c>
    </row>
    <row r="78" spans="1:14" x14ac:dyDescent="0.25">
      <c r="A78" s="16" t="s">
        <v>85</v>
      </c>
    </row>
    <row r="79" spans="1:14" x14ac:dyDescent="0.25">
      <c r="A79" s="16" t="s">
        <v>86</v>
      </c>
      <c r="B79" s="16">
        <f>COUNTIF(Student!E11:N11,"Y")*Student!D11</f>
        <v>0</v>
      </c>
      <c r="C79" s="16">
        <f>COUNTIF(Student!O11:P11,"Y")*Student!D11</f>
        <v>0</v>
      </c>
    </row>
    <row r="80" spans="1:14" x14ac:dyDescent="0.25">
      <c r="A80" s="16" t="s">
        <v>87</v>
      </c>
      <c r="B80" s="16">
        <f>COUNTIF(Student!E12:N12,"Y")*Student!D12</f>
        <v>0</v>
      </c>
      <c r="C80" s="16">
        <f>COUNTIF(Student!O12:P12,"y")*Student!D12</f>
        <v>0</v>
      </c>
    </row>
    <row r="81" spans="1:6" x14ac:dyDescent="0.25">
      <c r="A81" s="16" t="s">
        <v>88</v>
      </c>
      <c r="B81" s="16">
        <f>COUNTIF(Student!E13:N13,"Y")*Student!D13</f>
        <v>0</v>
      </c>
      <c r="C81" s="16">
        <f>COUNTIF(Student!O13:P13,"Y")*Student!D13</f>
        <v>0</v>
      </c>
    </row>
    <row r="82" spans="1:6" x14ac:dyDescent="0.25">
      <c r="A82" s="16" t="s">
        <v>89</v>
      </c>
      <c r="B82" s="16">
        <f>COUNTIF(Student!E14:N14,"Y")*Student!D14</f>
        <v>0</v>
      </c>
      <c r="C82" s="16">
        <f>COUNTIF(Student!O14:P14,"Y")*Student!D14</f>
        <v>0</v>
      </c>
    </row>
    <row r="83" spans="1:6" x14ac:dyDescent="0.25">
      <c r="A83" s="16" t="s">
        <v>90</v>
      </c>
      <c r="B83" s="16">
        <f>COUNTIF(Student!E15:N15,"Y")*Student!D15</f>
        <v>0</v>
      </c>
      <c r="C83" s="16">
        <f>COUNTIF(Student!O15:P15,"Y")*Student!D15</f>
        <v>0</v>
      </c>
    </row>
    <row r="85" spans="1:6" x14ac:dyDescent="0.25">
      <c r="A85" s="46" t="s">
        <v>43</v>
      </c>
      <c r="B85" s="46" t="s">
        <v>91</v>
      </c>
      <c r="C85" s="46" t="s">
        <v>92</v>
      </c>
      <c r="D85" s="46" t="s">
        <v>29</v>
      </c>
      <c r="E85" s="46" t="s">
        <v>30</v>
      </c>
      <c r="F85" s="46" t="s">
        <v>31</v>
      </c>
    </row>
    <row r="86" spans="1:6" x14ac:dyDescent="0.25">
      <c r="A86" s="47" t="s">
        <v>80</v>
      </c>
      <c r="B86" s="48">
        <f>0</f>
        <v>0</v>
      </c>
      <c r="C86" s="48">
        <f>IF(Student!C$22="Y",Lists!B86*1.02,Lists!B86)</f>
        <v>0</v>
      </c>
      <c r="D86" s="48">
        <f>IF(Student!C$22="Y",Lists!C86*1.02,Lists!C86)</f>
        <v>0</v>
      </c>
      <c r="E86" s="48">
        <f>IF(Student!C$22="Y",Lists!D86*1.02,Lists!D86)</f>
        <v>0</v>
      </c>
      <c r="F86" s="48">
        <f>IF(Student!C$22="Y",Lists!E86*1.02,Lists!E86)</f>
        <v>0</v>
      </c>
    </row>
    <row r="87" spans="1:6" x14ac:dyDescent="0.25">
      <c r="A87" s="47" t="s">
        <v>81</v>
      </c>
      <c r="B87" s="48">
        <f>B49</f>
        <v>1747.08</v>
      </c>
      <c r="C87" s="48">
        <f>IF(Student!C$22="Y",Lists!B87*1.02,Lists!B87)</f>
        <v>1747.08</v>
      </c>
      <c r="D87" s="48">
        <f>IF(Student!C$22="Y",Lists!C87*1.02,Lists!C87)</f>
        <v>1747.08</v>
      </c>
      <c r="E87" s="48">
        <f>IF(Student!C$22="Y",Lists!D87*1.02,Lists!D87)</f>
        <v>1747.08</v>
      </c>
      <c r="F87" s="48">
        <f>IF(Student!C$22="Y",Lists!E87*1.02,Lists!E87)</f>
        <v>1747.08</v>
      </c>
    </row>
    <row r="88" spans="1:6" s="73" customFormat="1" x14ac:dyDescent="0.25">
      <c r="A88" s="71" t="s">
        <v>82</v>
      </c>
      <c r="B88" s="48">
        <f>B49</f>
        <v>1747.08</v>
      </c>
      <c r="C88" s="72">
        <f>IF(Student!C$22="Y",Lists!B88*1.02,Lists!B88)</f>
        <v>1747.08</v>
      </c>
      <c r="D88" s="72">
        <f>IF(Student!C$22="Y",Lists!C88*1.02,Lists!C88)</f>
        <v>1747.08</v>
      </c>
      <c r="E88" s="72">
        <f>IF(Student!C$22="Y",Lists!D88*1.02,Lists!D88)</f>
        <v>1747.08</v>
      </c>
      <c r="F88" s="72">
        <f>IF(Student!C$22="Y",Lists!E88*1.02,Lists!E88)</f>
        <v>1747.08</v>
      </c>
    </row>
    <row r="89" spans="1:6" x14ac:dyDescent="0.25">
      <c r="A89" s="47" t="s">
        <v>83</v>
      </c>
      <c r="B89" s="48">
        <f>B49*2</f>
        <v>3494.16</v>
      </c>
      <c r="C89" s="48">
        <f>IF(Student!C$22="Y",Lists!B89*1.02,Lists!B89)</f>
        <v>3494.16</v>
      </c>
      <c r="D89" s="48">
        <f>IF(Student!C$22="Y",Lists!C89*1.02,Lists!C89)</f>
        <v>3494.16</v>
      </c>
      <c r="E89" s="48">
        <f>IF(Student!C$22="Y",Lists!D89*1.02,Lists!D89)</f>
        <v>3494.16</v>
      </c>
      <c r="F89" s="48">
        <f>IF(Student!C$22="Y",Lists!E89*1.02,Lists!E89)</f>
        <v>3494.16</v>
      </c>
    </row>
    <row r="90" spans="1:6" x14ac:dyDescent="0.25">
      <c r="A90" s="47" t="s">
        <v>84</v>
      </c>
      <c r="B90" s="48">
        <f>B49*2</f>
        <v>3494.16</v>
      </c>
      <c r="C90" s="48">
        <f>IF(Student!C$22="Y",Lists!B90*1.02,Lists!B90)</f>
        <v>3494.16</v>
      </c>
      <c r="D90" s="48">
        <f>IF(Student!C$22="Y",Lists!C90*1.02,Lists!C90)</f>
        <v>3494.16</v>
      </c>
      <c r="E90" s="48">
        <f>IF(Student!C$22="Y",Lists!D90*1.02,Lists!D90)</f>
        <v>3494.16</v>
      </c>
      <c r="F90" s="48">
        <f>IF(Student!C$22="Y",Lists!E90*1.02,Lists!E90)</f>
        <v>3494.16</v>
      </c>
    </row>
    <row r="91" spans="1:6" x14ac:dyDescent="0.25">
      <c r="A91" s="47" t="s">
        <v>85</v>
      </c>
      <c r="B91" s="48">
        <f>VLOOKUP(Student!D17,A$43:B$55,2,FALSE)+VLOOKUP(Student!D18,A$43:B$55,2,FALSE)</f>
        <v>0</v>
      </c>
      <c r="C91" s="48">
        <f>IF(Student!C22="Y",((VLOOKUP(Student!G17,A$43:B$55,2,FALSE)+VLOOKUP(Student!G18,A$43:B$55,2,FALSE))*1.02),(VLOOKUP(Student!G17,A$43:B$55,2,FALSE)+VLOOKUP(Student!G18,A$43:B$55,2,FALSE)))</f>
        <v>0</v>
      </c>
      <c r="D91" s="48">
        <f>IF(Student!C22="Y",((VLOOKUP(Student!J17,A$43:B$55,2,FALSE)+VLOOKUP(Student!J18,A$43:B$55,2,FALSE))*1.02*1.02),(VLOOKUP(Student!J17,A$43:B$55,2,FALSE)+VLOOKUP(Student!J18,A$43:B$55,2,FALSE)))</f>
        <v>0</v>
      </c>
      <c r="E91" s="48">
        <f>IF(Student!C22="Y",((VLOOKUP(Student!M17,A$43:B$55,2,FALSE)+VLOOKUP(Student!M18,A$43:B$55,2,FALSE))*1.02*1.02*1.02),(VLOOKUP(Student!M17,A$43:B$55,2,FALSE)+VLOOKUP(Student!M18,A$43:B$55,2,FALSE)))</f>
        <v>0</v>
      </c>
      <c r="F91" s="48">
        <f>IF(Student!C22="Y",((VLOOKUP(Student!P17,A$43:B$55,2,FALSE)+VLOOKUP(Student!P18,A$43:B$55,2,FALSE))*1.02*1.02*1.02*1.02),(VLOOKUP(Student!P17,A$43:B$55,2,FALSE)+VLOOKUP(Student!P18,A$43:B$55,2,FALSE)))</f>
        <v>0</v>
      </c>
    </row>
    <row r="92" spans="1:6" x14ac:dyDescent="0.25">
      <c r="A92" s="46" t="s">
        <v>44</v>
      </c>
    </row>
    <row r="93" spans="1:6" x14ac:dyDescent="0.25">
      <c r="A93" s="47" t="s">
        <v>80</v>
      </c>
      <c r="B93" s="16">
        <v>0</v>
      </c>
    </row>
    <row r="94" spans="1:6" x14ac:dyDescent="0.25">
      <c r="A94" s="47" t="s">
        <v>81</v>
      </c>
      <c r="B94" s="48">
        <f>C49</f>
        <v>336.45</v>
      </c>
      <c r="C94" s="48">
        <f>IF(Student!C$22="Y",(Lists!B94*1.02),Lists!B94)</f>
        <v>336.45</v>
      </c>
      <c r="D94" s="48">
        <f>IF(Student!$C$22="Y",(Lists!C94*1.02),Lists!C94)</f>
        <v>336.45</v>
      </c>
      <c r="E94" s="48">
        <f>IF(Student!$C$22="Y",(Lists!D94*1.02),Lists!D94)</f>
        <v>336.45</v>
      </c>
      <c r="F94" s="48">
        <f>IF(Student!$C$22="Y",(Lists!E94*1.02),Lists!E94)</f>
        <v>336.45</v>
      </c>
    </row>
    <row r="95" spans="1:6" x14ac:dyDescent="0.25">
      <c r="A95" s="47" t="s">
        <v>82</v>
      </c>
      <c r="B95" s="48">
        <f>C49</f>
        <v>336.45</v>
      </c>
      <c r="C95" s="48">
        <f>IF(Student!C$22="Y",(Lists!B95*1.02),Lists!B95)</f>
        <v>336.45</v>
      </c>
      <c r="D95" s="48">
        <f>IF(Student!$C$22="Y",(Lists!C95*1.02),Lists!C95)</f>
        <v>336.45</v>
      </c>
      <c r="E95" s="48">
        <f>IF(Student!$C$22="Y",(Lists!D95*1.02),Lists!D95)</f>
        <v>336.45</v>
      </c>
      <c r="F95" s="48">
        <f>IF(Student!$C$22="Y",(Lists!E95*1.02),Lists!E95)</f>
        <v>336.45</v>
      </c>
    </row>
    <row r="96" spans="1:6" x14ac:dyDescent="0.25">
      <c r="A96" s="47" t="s">
        <v>83</v>
      </c>
      <c r="B96" s="48">
        <f>C49*2</f>
        <v>672.9</v>
      </c>
      <c r="C96" s="48">
        <f>IF(Student!C$22="Y",(Lists!B96*1.02),Lists!B96)</f>
        <v>672.9</v>
      </c>
      <c r="D96" s="48">
        <f>IF(Student!$C$22="Y",(Lists!C96*1.02),Lists!C96)</f>
        <v>672.9</v>
      </c>
      <c r="E96" s="48">
        <f>IF(Student!$C$22="Y",(Lists!D96*1.02),Lists!D96)</f>
        <v>672.9</v>
      </c>
      <c r="F96" s="48">
        <f>IF(Student!$C$22="Y",(Lists!E96*1.02),Lists!E96)</f>
        <v>672.9</v>
      </c>
    </row>
    <row r="97" spans="1:6" x14ac:dyDescent="0.25">
      <c r="A97" s="47" t="s">
        <v>84</v>
      </c>
      <c r="B97" s="48">
        <f>C49*2</f>
        <v>672.9</v>
      </c>
      <c r="C97" s="48">
        <f>IF(Student!C$22="Y",(Lists!B97*1.02),Lists!B97)</f>
        <v>672.9</v>
      </c>
      <c r="D97" s="48">
        <f>IF(Student!$C$22="Y",(Lists!C97*1.02),Lists!C97)</f>
        <v>672.9</v>
      </c>
      <c r="E97" s="48">
        <f>IF(Student!$C$22="Y",(Lists!D97*1.02),Lists!D97)</f>
        <v>672.9</v>
      </c>
      <c r="F97" s="48">
        <f>IF(Student!$C$22="Y",(Lists!E97*1.02),Lists!E97)</f>
        <v>672.9</v>
      </c>
    </row>
    <row r="98" spans="1:6" x14ac:dyDescent="0.25">
      <c r="A98" s="47" t="s">
        <v>85</v>
      </c>
      <c r="B98" s="48">
        <f>VLOOKUP(Student!D17,A$43:E$55,3,FALSE)+(VLOOKUP(Student!D18,A$43:E$55,3,FALSE))</f>
        <v>0</v>
      </c>
      <c r="C98" s="48">
        <f>IF(Student!C22="Y",((VLOOKUP(Student!G17,A$43:E$55,3,FALSE)+(VLOOKUP(Student!G18,A$43:E$55,3,FALSE)))*1.02),(VLOOKUP(Student!G17,A$43:E$55,3,FALSE)+(VLOOKUP(Student!G18,A$43:E$55,3,FALSE))))</f>
        <v>0</v>
      </c>
      <c r="D98" s="48">
        <f>IF(Student!C22="Y",((VLOOKUP(Student!J17,A$43:E$55,3,FALSE)+(VLOOKUP(Student!J18,A$43:E$55,3,FALSE)))*1.02*1.02),(VLOOKUP(Student!J17,A$43:E$55,3,FALSE)+(VLOOKUP(Student!J18,A$43:E$55,3,FALSE))))</f>
        <v>0</v>
      </c>
      <c r="E98" s="48">
        <f>IF(Student!C22="Y",((VLOOKUP(Student!M17,A$43:E$55,3,FALSE)+(VLOOKUP(Student!M18,A$43:E$55,3,FALSE)))*1.02*1.02*1.02),(VLOOKUP(Student!M17,A$43:E$55,3,FALSE)+(VLOOKUP(Student!M18,A$43:E$55,3,FALSE))))</f>
        <v>0</v>
      </c>
      <c r="F98" s="48">
        <f>IF(Student!C22="Y",((VLOOKUP(Student!P17,A$43:E$55,3,FALSE)+(VLOOKUP(Student!P18,A$43:E$55,3,FALSE)))*1.02*1.02*1.028102),(VLOOKUP(Student!P17,A$43:E$55,3,FALSE)+(VLOOKUP(Student!P18,A$43:E$55,3,FALSE))))</f>
        <v>0</v>
      </c>
    </row>
    <row r="99" spans="1:6" x14ac:dyDescent="0.25">
      <c r="A99" s="46" t="s">
        <v>93</v>
      </c>
    </row>
    <row r="100" spans="1:6" x14ac:dyDescent="0.25">
      <c r="A100" s="47" t="s">
        <v>80</v>
      </c>
      <c r="B100" s="48">
        <v>0</v>
      </c>
      <c r="C100" s="48">
        <v>0</v>
      </c>
      <c r="D100" s="48">
        <v>0</v>
      </c>
      <c r="E100" s="48">
        <v>0</v>
      </c>
      <c r="F100" s="48">
        <v>0</v>
      </c>
    </row>
    <row r="101" spans="1:6" x14ac:dyDescent="0.25">
      <c r="A101" s="47" t="s">
        <v>81</v>
      </c>
      <c r="B101" s="48">
        <v>2310</v>
      </c>
      <c r="C101" s="48">
        <f>IF(Student!$C$22="Y",(Lists!B101*1.02),Lists!B101)</f>
        <v>2310</v>
      </c>
      <c r="D101" s="48">
        <f>IF(Student!$C$22="Y",(Lists!C101*1.02),Lists!C101)</f>
        <v>2310</v>
      </c>
      <c r="E101" s="48">
        <f>IF(Student!$C$22="Y",(Lists!D101*1.02),Lists!D101)</f>
        <v>2310</v>
      </c>
      <c r="F101" s="48">
        <f>IF(Student!$C$22="Y",(Lists!E101*1.02),Lists!E101)</f>
        <v>2310</v>
      </c>
    </row>
    <row r="102" spans="1:6" x14ac:dyDescent="0.25">
      <c r="A102" s="47" t="s">
        <v>82</v>
      </c>
      <c r="B102" s="48">
        <v>2310</v>
      </c>
      <c r="C102" s="48">
        <f>IF(Student!$C$22="Y",(Lists!B102*1.02),Lists!B102)</f>
        <v>2310</v>
      </c>
      <c r="D102" s="48">
        <f>IF(Student!$C$22="Y",(Lists!C102*1.02),Lists!C102)</f>
        <v>2310</v>
      </c>
      <c r="E102" s="48">
        <f>IF(Student!$C$22="Y",(Lists!D102*1.02),Lists!D102)</f>
        <v>2310</v>
      </c>
      <c r="F102" s="48">
        <f>IF(Student!$C$22="Y",(Lists!E102*1.02),Lists!E102)</f>
        <v>2310</v>
      </c>
    </row>
    <row r="103" spans="1:6" x14ac:dyDescent="0.25">
      <c r="A103" s="47" t="s">
        <v>83</v>
      </c>
      <c r="B103" s="48">
        <f>A106</f>
        <v>4620</v>
      </c>
      <c r="C103" s="48">
        <f>IF(Student!$C$22="Y",(Lists!B103*1.02),Lists!B103)</f>
        <v>4620</v>
      </c>
      <c r="D103" s="48">
        <f>IF(Student!$C$22="Y",(Lists!C103*1.02),Lists!C103)</f>
        <v>4620</v>
      </c>
      <c r="E103" s="48">
        <f>IF(Student!$C$22="Y",(Lists!D103*1.02),Lists!D103)</f>
        <v>4620</v>
      </c>
      <c r="F103" s="48">
        <f>IF(Student!$C$22="Y",(Lists!E103*1.02),Lists!E103)</f>
        <v>4620</v>
      </c>
    </row>
    <row r="104" spans="1:6" x14ac:dyDescent="0.25">
      <c r="A104" s="47" t="s">
        <v>84</v>
      </c>
      <c r="B104" s="48">
        <f>A106</f>
        <v>4620</v>
      </c>
      <c r="C104" s="48">
        <f>IF(Student!$C$22="Y",(Lists!B104*1.02),Lists!B104)</f>
        <v>4620</v>
      </c>
      <c r="D104" s="48">
        <f>IF(Student!$C$22="Y",(Lists!C104*1.02),Lists!C104)</f>
        <v>4620</v>
      </c>
      <c r="E104" s="48">
        <f>IF(Student!$C$22="Y",(Lists!D104*1.02),Lists!D104)</f>
        <v>4620</v>
      </c>
      <c r="F104" s="48">
        <f>IF(Student!$C$22="Y",(Lists!E104*1.02),Lists!E104)</f>
        <v>4620</v>
      </c>
    </row>
    <row r="105" spans="1:6" x14ac:dyDescent="0.25">
      <c r="A105" s="47" t="s">
        <v>85</v>
      </c>
      <c r="B105" s="48">
        <f>IF(Student!D17&gt;0,(0.5*A106))+(IF(Student!D18&gt;0,(0.5*A106),0))</f>
        <v>0</v>
      </c>
      <c r="C105" s="48">
        <f>IF(Student!C22="Y",((IF(Student!G17&gt;0,(0.5*A106))+(IF(Student!G18&gt;0,(0.5*A106),0)))*1.02),(IF(Student!G17&gt;0,(0.5*A106))+(IF(Student!G18&gt;0,(0.5*A106),0))))</f>
        <v>0</v>
      </c>
      <c r="D105" s="48">
        <f>IF(Student!C22="Y",((IF(Student!J17&gt;0,(0.5*A106))+(IF(Student!J18&gt;0,(0.5*A106),0)))*1.02*1.02),(IF(Student!J17&gt;0,(0.5*A106))+(IF(Student!J18&gt;0,(0.5*A106),0))))</f>
        <v>0</v>
      </c>
      <c r="E105" s="48">
        <f>IF(Student!C22="Y",((IF(Student!M17&gt;0,(0.5*A106))+(IF(Student!M18&gt;0,(0.5*A106),0)))*1.02*1.02*1.02),(IF(Student!M17&gt;0,(0.5*A106))+(IF(Student!M18&gt;0,(0.5*A106),0))))</f>
        <v>0</v>
      </c>
      <c r="F105" s="48">
        <f>IF(Student!C22="Y",((IF(Student!P17&gt;0,(0.5*A106))+(IF(Student!P18&gt;0,(0.5*A106),0)))*1.02*1.02*1.02*1.02),(IF(Student!P17&gt;0,(0.5*A106))+(IF(Student!P18&gt;0,(0.5*A106),0))))</f>
        <v>0</v>
      </c>
    </row>
    <row r="106" spans="1:6" x14ac:dyDescent="0.25">
      <c r="A106" s="17">
        <f>2310+2310</f>
        <v>4620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Student</vt:lpstr>
      <vt:lpstr>Sheet 1</vt:lpstr>
      <vt:lpstr>Lists</vt:lpstr>
      <vt:lpstr>Student!Print_Area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Buker, Tracy</dc:creator>
  <cp:keywords/>
  <dc:description/>
  <cp:lastModifiedBy>Ross, Dena</cp:lastModifiedBy>
  <cp:revision/>
  <dcterms:created xsi:type="dcterms:W3CDTF">2020-11-23T17:04:52Z</dcterms:created>
  <dcterms:modified xsi:type="dcterms:W3CDTF">2022-08-15T15:18:51Z</dcterms:modified>
  <cp:category/>
  <cp:contentStatus/>
</cp:coreProperties>
</file>