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GradSchoolteam/Shared Documents/Budgets_GS/"/>
    </mc:Choice>
  </mc:AlternateContent>
  <xr:revisionPtr revIDLastSave="39" documentId="8_{A364D9A9-D19D-4857-845B-9F2300242C64}" xr6:coauthVersionLast="47" xr6:coauthVersionMax="47" xr10:uidLastSave="{8AC98DB5-B07C-45BA-96BE-CC36E2DDEE93}"/>
  <workbookProtection workbookAlgorithmName="SHA-512" workbookHashValue="X41mztFQMgUNqqutUSDFGsPsOdvFg+mYLq2/BINLXN6F/MxoV9TDNmIQEyTwRhOwoDg7eLqX6hnoVtkol69Inw==" workbookSaltValue="XN2jw1mHClc5WBDIRVD4Pw==" workbookSpinCount="100000" lockStructure="1"/>
  <bookViews>
    <workbookView xWindow="-110" yWindow="-110" windowWidth="19420" windowHeight="11500" xr2:uid="{2A3803DB-3E1C-4D81-944D-8C9FDCF6E1DB}"/>
  </bookViews>
  <sheets>
    <sheet name="Student" sheetId="1" r:id="rId1"/>
    <sheet name="Lists" sheetId="3" r:id="rId2"/>
  </sheets>
  <definedNames>
    <definedName name="_xlnm.Print_Area" localSheetId="0">Student!$A$1:$W$52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3" l="1"/>
  <c r="B92" i="3" s="1"/>
  <c r="B93" i="3" s="1"/>
  <c r="C49" i="3"/>
  <c r="M65" i="3"/>
  <c r="C50" i="3" s="1"/>
  <c r="B59" i="3"/>
  <c r="B60" i="3" s="1"/>
  <c r="B58" i="3"/>
  <c r="B57" i="3"/>
  <c r="B56" i="3"/>
  <c r="B55" i="3"/>
  <c r="B54" i="3"/>
  <c r="B53" i="3"/>
  <c r="B52" i="3"/>
  <c r="B51" i="3"/>
  <c r="B50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W48" i="1"/>
  <c r="W43" i="1"/>
  <c r="W38" i="1"/>
  <c r="W33" i="1"/>
  <c r="W28" i="1"/>
  <c r="W47" i="1"/>
  <c r="W42" i="1"/>
  <c r="W37" i="1"/>
  <c r="W32" i="1"/>
  <c r="W27" i="1"/>
  <c r="S32" i="1"/>
  <c r="S34" i="1" s="1"/>
  <c r="S29" i="1"/>
  <c r="S27" i="1"/>
  <c r="C16" i="1"/>
  <c r="C15" i="1"/>
  <c r="E8" i="3"/>
  <c r="E7" i="3"/>
  <c r="E6" i="3"/>
  <c r="H27" i="1" s="1"/>
  <c r="D8" i="3"/>
  <c r="D7" i="3"/>
  <c r="D6" i="3"/>
  <c r="D27" i="1" l="1"/>
  <c r="P32" i="1"/>
  <c r="D28" i="1"/>
  <c r="F28" i="1" s="1"/>
  <c r="Q48" i="1"/>
  <c r="P48" i="1"/>
  <c r="Q43" i="1"/>
  <c r="Q33" i="1"/>
  <c r="Q38" i="1"/>
  <c r="F43" i="1"/>
  <c r="F48" i="1"/>
  <c r="P42" i="1"/>
  <c r="H47" i="1"/>
  <c r="P33" i="1"/>
  <c r="P34" i="1" s="1"/>
  <c r="P38" i="1"/>
  <c r="P43" i="1"/>
  <c r="P47" i="1"/>
  <c r="P49" i="1" s="1"/>
  <c r="M66" i="3"/>
  <c r="P37" i="1"/>
  <c r="F38" i="1"/>
  <c r="F33" i="1"/>
  <c r="H32" i="1"/>
  <c r="H33" i="1"/>
  <c r="H48" i="1"/>
  <c r="H38" i="1"/>
  <c r="H28" i="1"/>
  <c r="H42" i="1"/>
  <c r="H43" i="1"/>
  <c r="H37" i="1"/>
  <c r="T48" i="1"/>
  <c r="T43" i="1"/>
  <c r="S37" i="1"/>
  <c r="P44" i="1"/>
  <c r="D33" i="1"/>
  <c r="D37" i="1"/>
  <c r="D38" i="1"/>
  <c r="D42" i="1"/>
  <c r="D32" i="1"/>
  <c r="P27" i="1"/>
  <c r="P28" i="1"/>
  <c r="D43" i="1"/>
  <c r="D47" i="1"/>
  <c r="D48" i="1"/>
  <c r="B39" i="3"/>
  <c r="B40" i="3"/>
  <c r="B41" i="3"/>
  <c r="B42" i="3"/>
  <c r="B43" i="3"/>
  <c r="B44" i="3"/>
  <c r="B45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14" i="3"/>
  <c r="B81" i="3"/>
  <c r="C81" i="3" s="1"/>
  <c r="D81" i="3" s="1"/>
  <c r="E81" i="3" s="1"/>
  <c r="F81" i="3" s="1"/>
  <c r="P39" i="1" l="1"/>
  <c r="H49" i="1"/>
  <c r="T38" i="1"/>
  <c r="T33" i="1"/>
  <c r="M67" i="3"/>
  <c r="C51" i="3"/>
  <c r="C4" i="1"/>
  <c r="L38" i="1"/>
  <c r="N38" i="1" s="1"/>
  <c r="H39" i="1"/>
  <c r="H44" i="1"/>
  <c r="L48" i="1"/>
  <c r="N48" i="1" s="1"/>
  <c r="L43" i="1"/>
  <c r="N43" i="1" s="1"/>
  <c r="S39" i="1"/>
  <c r="S42" i="1"/>
  <c r="H11" i="3"/>
  <c r="F11" i="3"/>
  <c r="J11" i="3"/>
  <c r="F10" i="3"/>
  <c r="I11" i="3"/>
  <c r="L33" i="1"/>
  <c r="N33" i="1" s="1"/>
  <c r="G11" i="3"/>
  <c r="B80" i="3"/>
  <c r="C80" i="3" s="1"/>
  <c r="D80" i="3" s="1"/>
  <c r="E80" i="3" s="1"/>
  <c r="F80" i="3" s="1"/>
  <c r="M68" i="3" l="1"/>
  <c r="C52" i="3"/>
  <c r="S44" i="1"/>
  <c r="S47" i="1"/>
  <c r="S49" i="1" s="1"/>
  <c r="N5" i="1"/>
  <c r="M69" i="3" l="1"/>
  <c r="C53" i="3"/>
  <c r="B95" i="3"/>
  <c r="B94" i="3"/>
  <c r="M70" i="3" l="1"/>
  <c r="C54" i="3"/>
  <c r="C93" i="3"/>
  <c r="D93" i="3" s="1"/>
  <c r="E93" i="3" s="1"/>
  <c r="F93" i="3" s="1"/>
  <c r="C92" i="3"/>
  <c r="D92" i="3" s="1"/>
  <c r="E92" i="3" s="1"/>
  <c r="Q28" i="1"/>
  <c r="T28" i="1" s="1"/>
  <c r="Q32" i="1"/>
  <c r="B82" i="3"/>
  <c r="C82" i="3" s="1"/>
  <c r="D82" i="3" s="1"/>
  <c r="E82" i="3" s="1"/>
  <c r="F82" i="3" s="1"/>
  <c r="C95" i="3"/>
  <c r="D95" i="3" s="1"/>
  <c r="E95" i="3" s="1"/>
  <c r="F95" i="3" s="1"/>
  <c r="C94" i="3"/>
  <c r="D94" i="3" s="1"/>
  <c r="E94" i="3" s="1"/>
  <c r="F94" i="3" s="1"/>
  <c r="B79" i="3"/>
  <c r="C79" i="3" s="1"/>
  <c r="D79" i="3" s="1"/>
  <c r="E79" i="3" s="1"/>
  <c r="F79" i="3" s="1"/>
  <c r="M71" i="3" l="1"/>
  <c r="C55" i="3"/>
  <c r="B86" i="3"/>
  <c r="C86" i="3" s="1"/>
  <c r="D86" i="3" s="1"/>
  <c r="E86" i="3" s="1"/>
  <c r="F86" i="3" s="1"/>
  <c r="Q47" i="1"/>
  <c r="Q42" i="1"/>
  <c r="Q27" i="1"/>
  <c r="T27" i="1" s="1"/>
  <c r="Q37" i="1"/>
  <c r="Q34" i="1"/>
  <c r="T34" i="1" s="1"/>
  <c r="T32" i="1"/>
  <c r="B88" i="3"/>
  <c r="C88" i="3" s="1"/>
  <c r="D88" i="3" s="1"/>
  <c r="E88" i="3" s="1"/>
  <c r="F88" i="3" s="1"/>
  <c r="B87" i="3"/>
  <c r="C87" i="3" s="1"/>
  <c r="D87" i="3" s="1"/>
  <c r="E87" i="3" s="1"/>
  <c r="F87" i="3" s="1"/>
  <c r="B89" i="3"/>
  <c r="C89" i="3" s="1"/>
  <c r="D89" i="3" s="1"/>
  <c r="E89" i="3" s="1"/>
  <c r="F89" i="3" s="1"/>
  <c r="F27" i="1"/>
  <c r="F92" i="3"/>
  <c r="B83" i="3"/>
  <c r="C83" i="3" s="1"/>
  <c r="D83" i="3" s="1"/>
  <c r="E83" i="3" s="1"/>
  <c r="F83" i="3" s="1"/>
  <c r="F32" i="1" l="1"/>
  <c r="L32" i="1" s="1"/>
  <c r="F47" i="1"/>
  <c r="F42" i="1"/>
  <c r="F37" i="1"/>
  <c r="M72" i="3"/>
  <c r="C56" i="3"/>
  <c r="Q49" i="1"/>
  <c r="T49" i="1" s="1"/>
  <c r="T47" i="1"/>
  <c r="Q39" i="1"/>
  <c r="T39" i="1" s="1"/>
  <c r="T37" i="1"/>
  <c r="Q44" i="1"/>
  <c r="T44" i="1" s="1"/>
  <c r="T42" i="1"/>
  <c r="H34" i="1"/>
  <c r="L27" i="1"/>
  <c r="F34" i="1" l="1"/>
  <c r="M73" i="3"/>
  <c r="C57" i="3"/>
  <c r="F39" i="1"/>
  <c r="L37" i="1"/>
  <c r="N32" i="1"/>
  <c r="N34" i="1" s="1"/>
  <c r="L34" i="1"/>
  <c r="Q29" i="1"/>
  <c r="M74" i="3" l="1"/>
  <c r="C58" i="3"/>
  <c r="N37" i="1"/>
  <c r="N39" i="1" s="1"/>
  <c r="L39" i="1"/>
  <c r="F44" i="1"/>
  <c r="L42" i="1"/>
  <c r="P29" i="1"/>
  <c r="T29" i="1" s="1"/>
  <c r="M75" i="3" l="1"/>
  <c r="C60" i="3" s="1"/>
  <c r="C59" i="3"/>
  <c r="N42" i="1"/>
  <c r="N44" i="1" s="1"/>
  <c r="L44" i="1"/>
  <c r="F49" i="1"/>
  <c r="L47" i="1"/>
  <c r="L28" i="1"/>
  <c r="N28" i="1" s="1"/>
  <c r="F29" i="1"/>
  <c r="H29" i="1"/>
  <c r="N27" i="1"/>
  <c r="N47" i="1" l="1"/>
  <c r="N49" i="1" s="1"/>
  <c r="L49" i="1"/>
  <c r="N29" i="1"/>
  <c r="L29" i="1"/>
</calcChain>
</file>

<file path=xl/sharedStrings.xml><?xml version="1.0" encoding="utf-8"?>
<sst xmlns="http://schemas.openxmlformats.org/spreadsheetml/2006/main" count="259" uniqueCount="125">
  <si>
    <t>Fill in boxes that are yellow</t>
  </si>
  <si>
    <t>Name:</t>
  </si>
  <si>
    <t>Spirit Bobcat</t>
  </si>
  <si>
    <t>Department:</t>
  </si>
  <si>
    <t>Civil Engineering</t>
  </si>
  <si>
    <t>Business</t>
  </si>
  <si>
    <r>
      <rPr>
        <i/>
        <sz val="11"/>
        <color rgb="FF000000"/>
        <rFont val="Calibri"/>
        <scheme val="minor"/>
      </rPr>
      <t>Minimum</t>
    </r>
    <r>
      <rPr>
        <sz val="11"/>
        <color rgb="FF000000"/>
        <rFont val="Calibri"/>
        <scheme val="minor"/>
      </rPr>
      <t xml:space="preserve"> Dept Semester Salary: 108% OSU Fall 2023</t>
    </r>
  </si>
  <si>
    <t>Semester stipend (user defined):</t>
  </si>
  <si>
    <t>Annual Rate:</t>
  </si>
  <si>
    <t>Period of Support*:</t>
  </si>
  <si>
    <t>Full Calendar Year</t>
  </si>
  <si>
    <t>Manual Entry:</t>
  </si>
  <si>
    <t>Academic</t>
  </si>
  <si>
    <t xml:space="preserve">Use this section to manually calculate salary and tuition &amp; fees, by completing calendar to the right and credits per semester. </t>
  </si>
  <si>
    <t>Fall</t>
  </si>
  <si>
    <t>Spring</t>
  </si>
  <si>
    <t>Summer</t>
  </si>
  <si>
    <t>Year 1</t>
  </si>
  <si>
    <t>Y</t>
  </si>
  <si>
    <t>Year 2</t>
  </si>
  <si>
    <t>Y= Yes supported</t>
  </si>
  <si>
    <t>Year 3</t>
  </si>
  <si>
    <t>N or blank = no support</t>
  </si>
  <si>
    <t>Year 4</t>
  </si>
  <si>
    <t>Year 5</t>
  </si>
  <si>
    <t>Academic Semesters</t>
  </si>
  <si>
    <t>Summer (yes=1, no=0)</t>
  </si>
  <si>
    <t>Credits</t>
  </si>
  <si>
    <t>Credits per academic Semester:</t>
  </si>
  <si>
    <t>Credits per Summer Semester (if applicable):</t>
  </si>
  <si>
    <t xml:space="preserve">
Will this support be for a first year Grad student?</t>
  </si>
  <si>
    <t>Yes</t>
  </si>
  <si>
    <t>Does grant allow COLA?</t>
  </si>
  <si>
    <t>If so, how much annual inflation?</t>
  </si>
  <si>
    <t>Pay annual BCBS Health Insurance Fee ($4,620)?</t>
  </si>
  <si>
    <t>Budget Calculator:</t>
  </si>
  <si>
    <t>Black = Salary part on grant budget</t>
  </si>
  <si>
    <t>Red = can be entered as Tuition &amp; Fees on grant budget</t>
  </si>
  <si>
    <t># terms of support</t>
  </si>
  <si>
    <t>Salary</t>
  </si>
  <si>
    <t>CBA Additional Payment (assuming July 2024 amount)</t>
  </si>
  <si>
    <t>Total Salary</t>
  </si>
  <si>
    <t>Fringe Benefits</t>
  </si>
  <si>
    <t>Tuition</t>
  </si>
  <si>
    <t>Fees
(non-resident)</t>
  </si>
  <si>
    <t>BCBS Health insurance</t>
  </si>
  <si>
    <t>Total  Tuition &amp; Fees (Awards)</t>
  </si>
  <si>
    <t>Academic semesters (10 pay periods per term)</t>
  </si>
  <si>
    <t>semester of student</t>
  </si>
  <si>
    <t>Summer (assumes 6 pay periods &amp; 2/5 of prior semester GAP)</t>
  </si>
  <si>
    <t>cumulative COA</t>
  </si>
  <si>
    <t>Year 1 Total</t>
  </si>
  <si>
    <t xml:space="preserve">Year 2  </t>
  </si>
  <si>
    <t xml:space="preserve">CBA Additional Payment </t>
  </si>
  <si>
    <t>Year 2 Total</t>
  </si>
  <si>
    <t>Year 3 Total</t>
  </si>
  <si>
    <t>Year 4 Total</t>
  </si>
  <si>
    <t>Year 5 Total</t>
  </si>
  <si>
    <t>Full Academic Year</t>
  </si>
  <si>
    <t>One Semester Only</t>
  </si>
  <si>
    <t>One Semester and Summer</t>
  </si>
  <si>
    <t>COLA</t>
  </si>
  <si>
    <t>N</t>
  </si>
  <si>
    <t>No, student is in second Year</t>
  </si>
  <si>
    <t>No, student is in third year or later</t>
  </si>
  <si>
    <t>summer</t>
  </si>
  <si>
    <t> Dept</t>
  </si>
  <si>
    <t xml:space="preserve">Potential monthly stipend = </t>
  </si>
  <si>
    <t>Annual Stipend= 108% OSU, 10month</t>
  </si>
  <si>
    <t>Measure Names</t>
  </si>
  <si>
    <t>OSU Avg. Salary, 10month, Fall 2023</t>
  </si>
  <si>
    <t>Agricultural Econ &amp; Econ</t>
  </si>
  <si>
    <t>Avg. OSU Survey Stipend</t>
  </si>
  <si>
    <t>Agricultural Education</t>
  </si>
  <si>
    <t>no updated data, use averag</t>
  </si>
  <si>
    <t>American Studies</t>
  </si>
  <si>
    <t>Animal &amp; Range Sciences</t>
  </si>
  <si>
    <t>Chemical &amp; Biological Engr</t>
  </si>
  <si>
    <t>Chemistry &amp; Biochemistry</t>
  </si>
  <si>
    <t>Computer Science</t>
  </si>
  <si>
    <t>Earth Sciences</t>
  </si>
  <si>
    <t>Ecology</t>
  </si>
  <si>
    <t>Education</t>
  </si>
  <si>
    <t>Electrical &amp; Computer Engr</t>
  </si>
  <si>
    <t>English</t>
  </si>
  <si>
    <t>Entomology</t>
  </si>
  <si>
    <t>Graduate Studies</t>
  </si>
  <si>
    <t>Health &amp; Human Development</t>
  </si>
  <si>
    <t>History &amp; Philosophy</t>
  </si>
  <si>
    <t>Land Resources &amp; Enviro Sci</t>
  </si>
  <si>
    <t>Mathematical Sciences</t>
  </si>
  <si>
    <t>Mechanical &amp; Industrial Engr</t>
  </si>
  <si>
    <t>Microbiology and Cell Biology</t>
  </si>
  <si>
    <t>Native American Studies</t>
  </si>
  <si>
    <t>Nursing</t>
  </si>
  <si>
    <t>Physics</t>
  </si>
  <si>
    <t>Plant Sciences/Plant Pathology</t>
  </si>
  <si>
    <t>Political Science</t>
  </si>
  <si>
    <t>Psychology</t>
  </si>
  <si>
    <t>School of Architecture</t>
  </si>
  <si>
    <t>School of Art</t>
  </si>
  <si>
    <t>School of Film &amp; Photography</t>
  </si>
  <si>
    <t>Science Education</t>
  </si>
  <si>
    <t>Fees (sum table below + non-resident building fee)</t>
  </si>
  <si>
    <t>12+</t>
  </si>
  <si>
    <t>Schedule of Fees</t>
  </si>
  <si>
    <t>Registration Fee</t>
  </si>
  <si>
    <t>Building Fee</t>
  </si>
  <si>
    <t>SFEP Fee</t>
  </si>
  <si>
    <t>Computer Fee</t>
  </si>
  <si>
    <t>ASMSU Fee**</t>
  </si>
  <si>
    <t>Health/Dental Fee</t>
  </si>
  <si>
    <t>SU Fee</t>
  </si>
  <si>
    <t>Equipment Fee</t>
  </si>
  <si>
    <t>Information Technology Fee</t>
  </si>
  <si>
    <t>Athletic Fee</t>
  </si>
  <si>
    <t>Total</t>
  </si>
  <si>
    <r>
      <rPr>
        <b/>
        <sz val="11"/>
        <color rgb="FF000000"/>
        <rFont val="Arial"/>
        <family val="2"/>
      </rPr>
      <t>Non- Resident Building Fee</t>
    </r>
    <r>
      <rPr>
        <sz val="11"/>
        <color indexed="8"/>
        <rFont val="Arial"/>
        <family val="2"/>
      </rPr>
      <t xml:space="preserve">
</t>
    </r>
  </si>
  <si>
    <t>12 &amp; up</t>
  </si>
  <si>
    <t xml:space="preserve">Year 1 </t>
  </si>
  <si>
    <t xml:space="preserve">Year 2 </t>
  </si>
  <si>
    <t>Summer Semester Only</t>
  </si>
  <si>
    <t>Assumes 2% increase in tuition (resident)</t>
  </si>
  <si>
    <t>Fees</t>
  </si>
  <si>
    <t>Health Insurance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</si>
</sst>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##0.00;###0.00"/>
    <numFmt numFmtId="166" formatCode="#,##0.00;#,##0.00"/>
    <numFmt numFmtId="167" formatCode="&quot;$&quot;#,##0"/>
    <numFmt numFmtId="168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666666"/>
      <name val="Arial"/>
      <family val="2"/>
    </font>
    <font>
      <sz val="11"/>
      <color rgb="FF333333"/>
      <name val="Arial"/>
      <family val="2"/>
    </font>
    <font>
      <sz val="1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7"/>
      <color rgb="FFEFEFEF"/>
      <name val="Verdana"/>
      <family val="2"/>
    </font>
    <font>
      <sz val="7"/>
      <color rgb="FF333333"/>
      <name val="Verdana"/>
      <family val="2"/>
    </font>
    <font>
      <i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DDDDDD"/>
      </bottom>
      <diagonal/>
    </border>
    <border>
      <left/>
      <right/>
      <top style="medium">
        <color rgb="FF000000"/>
      </top>
      <bottom style="medium">
        <color rgb="FFDDDDDD"/>
      </bottom>
      <diagonal/>
    </border>
    <border>
      <left/>
      <right style="medium">
        <color rgb="FF000000"/>
      </right>
      <top style="medium">
        <color rgb="FF000000"/>
      </top>
      <bottom style="medium">
        <color rgb="FFDDDDDD"/>
      </bottom>
      <diagonal/>
    </border>
    <border>
      <left style="medium">
        <color rgb="FF000000"/>
      </left>
      <right/>
      <top style="medium">
        <color rgb="FFDDDDDD"/>
      </top>
      <bottom/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CCCCCC"/>
      </bottom>
      <diagonal/>
    </border>
    <border>
      <left style="medium">
        <color rgb="FF000000"/>
      </left>
      <right/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DDDDDD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15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2" fillId="0" borderId="0" xfId="0" applyNumberFormat="1" applyFont="1"/>
    <xf numFmtId="44" fontId="0" fillId="0" borderId="0" xfId="0" applyNumberFormat="1"/>
    <xf numFmtId="0" fontId="0" fillId="5" borderId="0" xfId="0" applyFill="1"/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2" fillId="5" borderId="0" xfId="0" applyFont="1" applyFill="1"/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44" fontId="10" fillId="4" borderId="0" xfId="1" applyFont="1" applyFill="1" applyBorder="1" applyAlignment="1" applyProtection="1">
      <alignment vertical="center" wrapText="1"/>
    </xf>
    <xf numFmtId="44" fontId="6" fillId="0" borderId="0" xfId="1" applyFont="1" applyBorder="1" applyAlignment="1" applyProtection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3" fontId="5" fillId="4" borderId="0" xfId="1" applyNumberFormat="1" applyFont="1" applyFill="1" applyBorder="1" applyAlignment="1" applyProtection="1">
      <alignment horizontal="right" vertical="top" wrapText="1"/>
    </xf>
    <xf numFmtId="43" fontId="5" fillId="0" borderId="0" xfId="1" applyNumberFormat="1" applyFont="1" applyFill="1" applyBorder="1" applyAlignment="1" applyProtection="1">
      <alignment horizontal="right" vertical="top" wrapText="1"/>
    </xf>
    <xf numFmtId="43" fontId="5" fillId="6" borderId="0" xfId="1" applyNumberFormat="1" applyFont="1" applyFill="1" applyBorder="1" applyAlignment="1" applyProtection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43" fontId="7" fillId="0" borderId="0" xfId="0" applyNumberFormat="1" applyFont="1" applyAlignment="1">
      <alignment horizontal="left" vertical="top" wrapText="1"/>
    </xf>
    <xf numFmtId="43" fontId="4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0" fillId="5" borderId="0" xfId="0" applyFill="1" applyAlignment="1">
      <alignment horizontal="left"/>
    </xf>
    <xf numFmtId="164" fontId="0" fillId="5" borderId="0" xfId="1" applyNumberFormat="1" applyFont="1" applyFill="1" applyBorder="1" applyAlignment="1"/>
    <xf numFmtId="0" fontId="0" fillId="8" borderId="0" xfId="0" applyFill="1" applyAlignment="1">
      <alignment horizontal="left" vertical="top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12" fillId="5" borderId="0" xfId="0" applyFont="1" applyFill="1"/>
    <xf numFmtId="9" fontId="0" fillId="5" borderId="3" xfId="2" applyFont="1" applyFill="1" applyBorder="1" applyProtection="1">
      <protection locked="0"/>
    </xf>
    <xf numFmtId="0" fontId="2" fillId="9" borderId="6" xfId="0" applyFont="1" applyFill="1" applyBorder="1" applyAlignment="1">
      <alignment horizontal="right"/>
    </xf>
    <xf numFmtId="0" fontId="14" fillId="0" borderId="0" xfId="0" applyFont="1" applyAlignment="1">
      <alignment horizontal="left" vertical="top"/>
    </xf>
    <xf numFmtId="167" fontId="15" fillId="0" borderId="0" xfId="0" applyNumberFormat="1" applyFont="1" applyAlignment="1">
      <alignment vertical="center"/>
    </xf>
    <xf numFmtId="0" fontId="17" fillId="5" borderId="0" xfId="0" applyFont="1" applyFill="1"/>
    <xf numFmtId="164" fontId="0" fillId="0" borderId="0" xfId="1" applyNumberFormat="1" applyFont="1" applyAlignment="1">
      <alignment horizontal="left" vertical="top"/>
    </xf>
    <xf numFmtId="0" fontId="0" fillId="0" borderId="3" xfId="0" applyBorder="1" applyAlignment="1">
      <alignment horizontal="center" wrapText="1"/>
    </xf>
    <xf numFmtId="42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2" fontId="0" fillId="0" borderId="2" xfId="0" applyNumberForma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2" fillId="5" borderId="0" xfId="0" applyFont="1" applyFill="1" applyAlignment="1">
      <alignment vertical="top" wrapText="1"/>
    </xf>
    <xf numFmtId="0" fontId="0" fillId="0" borderId="2" xfId="0" applyBorder="1" applyAlignment="1">
      <alignment horizontal="center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4" xfId="0" applyNumberFormat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8" fillId="5" borderId="0" xfId="0" applyFont="1" applyFill="1"/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>
      <alignment horizontal="right"/>
    </xf>
    <xf numFmtId="9" fontId="0" fillId="5" borderId="8" xfId="2" applyFont="1" applyFill="1" applyBorder="1" applyProtection="1"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0" fillId="10" borderId="1" xfId="0" applyFill="1" applyBorder="1" applyProtection="1"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/>
    </xf>
    <xf numFmtId="0" fontId="0" fillId="5" borderId="0" xfId="0" applyFill="1" applyProtection="1"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right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1" xfId="0" applyNumberFormat="1" applyBorder="1" applyAlignment="1">
      <alignment horizontal="right" vertical="top" wrapText="1"/>
    </xf>
    <xf numFmtId="42" fontId="2" fillId="0" borderId="2" xfId="0" applyNumberFormat="1" applyFont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42" fontId="0" fillId="0" borderId="4" xfId="0" applyNumberFormat="1" applyBorder="1" applyAlignment="1">
      <alignment horizontal="center" vertical="center" wrapText="1"/>
    </xf>
    <xf numFmtId="44" fontId="0" fillId="4" borderId="0" xfId="1" applyFont="1" applyFill="1" applyAlignment="1">
      <alignment horizontal="left" vertical="top"/>
    </xf>
    <xf numFmtId="16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horizontal="left" vertical="top"/>
    </xf>
    <xf numFmtId="9" fontId="0" fillId="10" borderId="0" xfId="2" applyFont="1" applyFill="1"/>
    <xf numFmtId="0" fontId="20" fillId="13" borderId="9" xfId="0" applyFont="1" applyFill="1" applyBorder="1" applyAlignment="1">
      <alignment horizontal="left" vertical="top" wrapText="1"/>
    </xf>
    <xf numFmtId="0" fontId="20" fillId="11" borderId="9" xfId="0" applyFont="1" applyFill="1" applyBorder="1" applyAlignment="1">
      <alignment horizontal="left" vertical="top" wrapText="1"/>
    </xf>
    <xf numFmtId="0" fontId="19" fillId="12" borderId="10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wrapText="1"/>
    </xf>
    <xf numFmtId="0" fontId="19" fillId="12" borderId="11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wrapText="1"/>
    </xf>
    <xf numFmtId="0" fontId="19" fillId="12" borderId="13" xfId="0" applyFont="1" applyFill="1" applyBorder="1" applyAlignment="1">
      <alignment horizontal="center" vertical="top" wrapText="1"/>
    </xf>
    <xf numFmtId="0" fontId="20" fillId="13" borderId="14" xfId="0" applyFont="1" applyFill="1" applyBorder="1" applyAlignment="1">
      <alignment horizontal="left" vertical="top" wrapText="1"/>
    </xf>
    <xf numFmtId="0" fontId="20" fillId="11" borderId="14" xfId="0" applyFont="1" applyFill="1" applyBorder="1" applyAlignment="1">
      <alignment horizontal="left" vertical="top" wrapText="1"/>
    </xf>
    <xf numFmtId="4" fontId="20" fillId="11" borderId="14" xfId="0" applyNumberFormat="1" applyFont="1" applyFill="1" applyBorder="1" applyAlignment="1">
      <alignment horizontal="left" vertical="top" wrapText="1"/>
    </xf>
    <xf numFmtId="4" fontId="20" fillId="13" borderId="14" xfId="0" applyNumberFormat="1" applyFont="1" applyFill="1" applyBorder="1" applyAlignment="1">
      <alignment horizontal="left" vertical="top" wrapText="1"/>
    </xf>
    <xf numFmtId="0" fontId="19" fillId="12" borderId="15" xfId="0" applyFont="1" applyFill="1" applyBorder="1" applyAlignment="1">
      <alignment horizontal="center" vertical="top" wrapText="1"/>
    </xf>
    <xf numFmtId="0" fontId="20" fillId="11" borderId="16" xfId="0" applyFont="1" applyFill="1" applyBorder="1" applyAlignment="1">
      <alignment horizontal="left" vertical="top" wrapText="1"/>
    </xf>
    <xf numFmtId="3" fontId="20" fillId="11" borderId="17" xfId="0" applyNumberFormat="1" applyFont="1" applyFill="1" applyBorder="1" applyAlignment="1">
      <alignment horizontal="left" vertical="top" wrapText="1"/>
    </xf>
    <xf numFmtId="0" fontId="22" fillId="5" borderId="0" xfId="0" applyFont="1" applyFill="1"/>
    <xf numFmtId="167" fontId="18" fillId="5" borderId="0" xfId="1" applyNumberFormat="1" applyFont="1" applyFill="1" applyBorder="1" applyAlignment="1">
      <alignment horizontal="center"/>
    </xf>
    <xf numFmtId="0" fontId="0" fillId="10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2" fontId="2" fillId="0" borderId="2" xfId="0" applyNumberFormat="1" applyFont="1" applyBorder="1" applyAlignment="1">
      <alignment horizontal="center" vertical="top" wrapText="1"/>
    </xf>
    <xf numFmtId="42" fontId="2" fillId="0" borderId="3" xfId="0" applyNumberFormat="1" applyFont="1" applyBorder="1" applyAlignment="1">
      <alignment horizontal="center" vertical="top" wrapText="1"/>
    </xf>
    <xf numFmtId="42" fontId="2" fillId="0" borderId="4" xfId="0" applyNumberFormat="1" applyFont="1" applyBorder="1" applyAlignment="1">
      <alignment horizontal="center" vertical="top" wrapText="1"/>
    </xf>
    <xf numFmtId="42" fontId="0" fillId="0" borderId="2" xfId="0" applyNumberFormat="1" applyBorder="1" applyAlignment="1">
      <alignment horizontal="right" vertical="top" wrapText="1"/>
    </xf>
    <xf numFmtId="42" fontId="0" fillId="0" borderId="3" xfId="0" applyNumberForma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42" fontId="0" fillId="0" borderId="2" xfId="0" applyNumberFormat="1" applyBorder="1" applyAlignment="1">
      <alignment horizontal="center" vertical="top" wrapText="1"/>
    </xf>
    <xf numFmtId="42" fontId="0" fillId="0" borderId="3" xfId="0" applyNumberFormat="1" applyBorder="1" applyAlignment="1">
      <alignment horizontal="center" vertical="top" wrapText="1"/>
    </xf>
    <xf numFmtId="42" fontId="0" fillId="0" borderId="4" xfId="0" applyNumberFormat="1" applyBorder="1" applyAlignment="1">
      <alignment horizontal="righ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2" fontId="0" fillId="0" borderId="1" xfId="0" applyNumberFormat="1" applyBorder="1" applyAlignment="1">
      <alignment horizontal="center" vertical="top" wrapText="1"/>
    </xf>
    <xf numFmtId="42" fontId="0" fillId="0" borderId="2" xfId="0" applyNumberFormat="1" applyBorder="1" applyAlignment="1">
      <alignment horizontal="center" vertical="center" wrapText="1"/>
    </xf>
    <xf numFmtId="42" fontId="0" fillId="0" borderId="3" xfId="0" applyNumberForma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 vertical="center" wrapText="1"/>
    </xf>
    <xf numFmtId="42" fontId="2" fillId="0" borderId="2" xfId="1" applyNumberFormat="1" applyFont="1" applyBorder="1" applyAlignment="1" applyProtection="1">
      <alignment horizontal="right" vertical="top" wrapText="1"/>
    </xf>
    <xf numFmtId="42" fontId="2" fillId="0" borderId="3" xfId="1" applyNumberFormat="1" applyFont="1" applyBorder="1" applyAlignment="1" applyProtection="1">
      <alignment horizontal="right" vertical="top" wrapText="1"/>
    </xf>
    <xf numFmtId="164" fontId="0" fillId="0" borderId="0" xfId="1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42" fontId="0" fillId="0" borderId="2" xfId="0" applyNumberFormat="1" applyBorder="1" applyAlignment="1">
      <alignment horizontal="right" vertical="center" wrapText="1"/>
    </xf>
    <xf numFmtId="42" fontId="0" fillId="0" borderId="3" xfId="0" applyNumberFormat="1" applyBorder="1" applyAlignment="1">
      <alignment horizontal="right" vertical="center" wrapText="1"/>
    </xf>
    <xf numFmtId="167" fontId="0" fillId="10" borderId="1" xfId="1" applyNumberFormat="1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>
      <alignment horizontal="left" vertical="top" wrapText="1" indent="2"/>
    </xf>
    <xf numFmtId="42" fontId="0" fillId="0" borderId="2" xfId="1" applyNumberFormat="1" applyFont="1" applyBorder="1" applyAlignment="1" applyProtection="1">
      <alignment horizontal="right" vertical="top" wrapText="1"/>
    </xf>
    <xf numFmtId="42" fontId="0" fillId="0" borderId="3" xfId="1" applyNumberFormat="1" applyFont="1" applyBorder="1" applyAlignment="1" applyProtection="1">
      <alignment horizontal="right" vertical="top" wrapText="1"/>
    </xf>
    <xf numFmtId="42" fontId="0" fillId="0" borderId="2" xfId="1" applyNumberFormat="1" applyFont="1" applyBorder="1" applyAlignment="1" applyProtection="1">
      <alignment horizontal="right" vertical="center" wrapText="1"/>
    </xf>
    <xf numFmtId="42" fontId="0" fillId="0" borderId="3" xfId="1" applyNumberFormat="1" applyFont="1" applyBorder="1" applyAlignment="1" applyProtection="1">
      <alignment horizontal="right" vertical="center" wrapText="1"/>
    </xf>
    <xf numFmtId="42" fontId="0" fillId="0" borderId="1" xfId="0" applyNumberFormat="1" applyBorder="1" applyAlignment="1">
      <alignment horizontal="right" vertical="top" wrapText="1"/>
    </xf>
  </cellXfs>
  <cellStyles count="4">
    <cellStyle name="Currency" xfId="1" builtinId="4"/>
    <cellStyle name="Normal" xfId="0" builtinId="0"/>
    <cellStyle name="Normal 2" xfId="3" xr:uid="{FB6D905A-0B7C-4704-B644-F8921F94967F}"/>
    <cellStyle name="Percent" xfId="2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42CF-8516-40B0-BEA0-FE6BBC2E0F47}">
  <sheetPr codeName="Sheet1">
    <pageSetUpPr fitToPage="1"/>
  </sheetPr>
  <dimension ref="A1:Z54"/>
  <sheetViews>
    <sheetView tabSelected="1" zoomScaleNormal="100" workbookViewId="0">
      <selection activeCell="C6" sqref="C6:I6"/>
    </sheetView>
  </sheetViews>
  <sheetFormatPr defaultColWidth="0" defaultRowHeight="14.45" zeroHeight="1"/>
  <cols>
    <col min="1" max="1" width="4.28515625" style="5" customWidth="1"/>
    <col min="2" max="2" width="45.28515625" style="5" customWidth="1"/>
    <col min="3" max="3" width="6.7109375" style="5" customWidth="1"/>
    <col min="4" max="4" width="5.7109375" style="5" customWidth="1"/>
    <col min="5" max="5" width="4" style="5" customWidth="1"/>
    <col min="6" max="6" width="4.7109375" style="5" customWidth="1"/>
    <col min="7" max="7" width="4.28515625" style="5" customWidth="1"/>
    <col min="8" max="8" width="4.28515625" style="5" bestFit="1" customWidth="1"/>
    <col min="9" max="10" width="3.7109375" style="5" bestFit="1" customWidth="1"/>
    <col min="11" max="11" width="4.42578125" style="5" bestFit="1" customWidth="1"/>
    <col min="12" max="12" width="4.28515625" style="5" bestFit="1" customWidth="1"/>
    <col min="13" max="13" width="5.5703125" style="5" customWidth="1"/>
    <col min="14" max="14" width="4" style="5" bestFit="1" customWidth="1"/>
    <col min="15" max="15" width="5" style="5" customWidth="1"/>
    <col min="16" max="16" width="8.42578125" style="5" customWidth="1"/>
    <col min="17" max="17" width="4.28515625" style="5" bestFit="1" customWidth="1"/>
    <col min="18" max="18" width="4.28515625" style="5" customWidth="1"/>
    <col min="19" max="19" width="8" style="5" customWidth="1"/>
    <col min="20" max="20" width="4.7109375" style="5" customWidth="1"/>
    <col min="21" max="21" width="7.28515625" style="5" customWidth="1"/>
    <col min="22" max="22" width="17.5703125" style="5" customWidth="1"/>
    <col min="23" max="23" width="10.85546875" style="5" customWidth="1"/>
    <col min="24" max="26" width="0" hidden="1" customWidth="1"/>
    <col min="27" max="16384" width="9.28515625" hidden="1"/>
  </cols>
  <sheetData>
    <row r="1" spans="2:24">
      <c r="B1" s="8" t="s">
        <v>0</v>
      </c>
    </row>
    <row r="2" spans="2:24">
      <c r="B2" s="8" t="s">
        <v>1</v>
      </c>
      <c r="C2" s="109" t="s">
        <v>2</v>
      </c>
      <c r="D2" s="109"/>
      <c r="E2" s="109"/>
      <c r="F2" s="109"/>
      <c r="G2" s="109"/>
      <c r="H2" s="109"/>
      <c r="I2" s="109"/>
    </row>
    <row r="3" spans="2:24">
      <c r="B3" s="8" t="s">
        <v>3</v>
      </c>
      <c r="C3" s="109" t="s">
        <v>4</v>
      </c>
      <c r="D3" s="109" t="s">
        <v>5</v>
      </c>
      <c r="E3" s="109" t="s">
        <v>5</v>
      </c>
      <c r="F3" s="109" t="s">
        <v>5</v>
      </c>
      <c r="G3" s="109" t="s">
        <v>5</v>
      </c>
      <c r="H3" s="109" t="s">
        <v>5</v>
      </c>
      <c r="I3" s="109" t="s">
        <v>5</v>
      </c>
    </row>
    <row r="4" spans="2:24">
      <c r="B4" s="107" t="s">
        <v>6</v>
      </c>
      <c r="C4" s="142">
        <f>VLOOKUP(Student!C3,Lists!A14:C45,2,FALSE)*5</f>
        <v>10759.5999999999</v>
      </c>
      <c r="D4" s="142"/>
      <c r="E4" s="142"/>
      <c r="F4" s="142"/>
      <c r="G4" s="142"/>
      <c r="H4" s="142"/>
      <c r="I4" s="142"/>
      <c r="Q4" s="39"/>
    </row>
    <row r="5" spans="2:24">
      <c r="B5" s="8" t="s">
        <v>7</v>
      </c>
      <c r="C5" s="150">
        <v>11500</v>
      </c>
      <c r="D5" s="150"/>
      <c r="E5" s="150"/>
      <c r="F5" s="150"/>
      <c r="G5" s="150"/>
      <c r="H5" s="150"/>
      <c r="I5" s="150"/>
      <c r="K5" s="72" t="s">
        <v>8</v>
      </c>
      <c r="L5" s="72"/>
      <c r="M5" s="72"/>
      <c r="N5" s="108">
        <f>C5*12</f>
        <v>138000</v>
      </c>
      <c r="O5" s="108"/>
      <c r="P5" s="108"/>
      <c r="Q5" s="39"/>
    </row>
    <row r="6" spans="2:24">
      <c r="B6" s="8" t="s">
        <v>9</v>
      </c>
      <c r="C6" s="109" t="s">
        <v>10</v>
      </c>
      <c r="D6" s="109"/>
      <c r="E6" s="109"/>
      <c r="F6" s="109"/>
      <c r="G6" s="109"/>
      <c r="H6" s="109"/>
      <c r="I6" s="109"/>
      <c r="K6" s="48"/>
      <c r="L6" s="43"/>
      <c r="M6" s="43"/>
      <c r="N6" s="43"/>
      <c r="O6" s="43"/>
      <c r="P6" s="43"/>
      <c r="Q6" s="43"/>
      <c r="R6" s="43"/>
      <c r="S6" s="43"/>
      <c r="T6" s="43"/>
    </row>
    <row r="7" spans="2:24">
      <c r="K7" s="48"/>
    </row>
    <row r="8" spans="2:24" hidden="1">
      <c r="B8" s="42" t="s">
        <v>11</v>
      </c>
      <c r="C8" s="41"/>
      <c r="D8" s="41"/>
      <c r="E8" s="110" t="s">
        <v>12</v>
      </c>
      <c r="F8" s="111"/>
      <c r="G8" s="111"/>
      <c r="H8" s="111"/>
      <c r="I8" s="111"/>
      <c r="J8" s="111"/>
      <c r="K8" s="111"/>
      <c r="L8" s="111"/>
      <c r="M8" s="111"/>
      <c r="N8" s="112"/>
      <c r="Q8" s="41"/>
      <c r="R8" s="41"/>
      <c r="S8" s="41"/>
      <c r="T8" s="41"/>
      <c r="U8" s="41"/>
      <c r="V8" s="41"/>
      <c r="X8" s="5"/>
    </row>
    <row r="9" spans="2:24" hidden="1">
      <c r="B9" s="151" t="s">
        <v>13</v>
      </c>
      <c r="C9" s="41"/>
      <c r="D9" s="41"/>
      <c r="E9" s="110" t="s">
        <v>14</v>
      </c>
      <c r="F9" s="111"/>
      <c r="G9" s="111"/>
      <c r="H9" s="111"/>
      <c r="I9" s="111"/>
      <c r="J9" s="111" t="s">
        <v>15</v>
      </c>
      <c r="K9" s="111"/>
      <c r="L9" s="111"/>
      <c r="M9" s="111"/>
      <c r="N9" s="112"/>
      <c r="O9" s="115" t="s">
        <v>16</v>
      </c>
      <c r="P9" s="116"/>
      <c r="Q9" s="41"/>
      <c r="R9" s="41"/>
      <c r="S9" s="41"/>
      <c r="T9" s="41"/>
      <c r="U9" s="41"/>
      <c r="V9" s="41"/>
      <c r="X9" s="5"/>
    </row>
    <row r="10" spans="2:24" hidden="1">
      <c r="B10" s="151"/>
      <c r="C10" s="45" t="s">
        <v>17</v>
      </c>
      <c r="D10" s="44">
        <v>1</v>
      </c>
      <c r="E10" s="113" t="s">
        <v>18</v>
      </c>
      <c r="F10" s="117"/>
      <c r="G10" s="117"/>
      <c r="H10" s="117"/>
      <c r="I10" s="114"/>
      <c r="J10" s="113" t="s">
        <v>18</v>
      </c>
      <c r="K10" s="117"/>
      <c r="L10" s="117"/>
      <c r="M10" s="117"/>
      <c r="N10" s="114"/>
      <c r="O10" s="113" t="s">
        <v>18</v>
      </c>
      <c r="P10" s="114"/>
      <c r="Q10" s="41"/>
      <c r="R10" s="41"/>
      <c r="S10" s="41"/>
      <c r="T10" s="41"/>
      <c r="U10" s="41"/>
      <c r="V10" s="41"/>
      <c r="X10" s="5"/>
    </row>
    <row r="11" spans="2:24" hidden="1">
      <c r="B11" s="151"/>
      <c r="C11" s="45" t="s">
        <v>19</v>
      </c>
      <c r="D11" s="44">
        <v>1</v>
      </c>
      <c r="E11" s="113"/>
      <c r="F11" s="117"/>
      <c r="G11" s="117"/>
      <c r="H11" s="117"/>
      <c r="I11" s="114"/>
      <c r="J11" s="113"/>
      <c r="K11" s="117"/>
      <c r="L11" s="117"/>
      <c r="M11" s="117"/>
      <c r="N11" s="114"/>
      <c r="O11" s="113"/>
      <c r="P11" s="114"/>
      <c r="Q11" s="41"/>
      <c r="R11" s="41" t="s">
        <v>20</v>
      </c>
      <c r="S11" s="41"/>
      <c r="T11" s="41"/>
      <c r="U11" s="41"/>
      <c r="V11" s="41"/>
      <c r="X11" s="5"/>
    </row>
    <row r="12" spans="2:24" hidden="1">
      <c r="B12" s="151"/>
      <c r="C12" s="45" t="s">
        <v>21</v>
      </c>
      <c r="D12" s="44">
        <v>1</v>
      </c>
      <c r="E12" s="113"/>
      <c r="F12" s="117"/>
      <c r="G12" s="117"/>
      <c r="H12" s="117"/>
      <c r="I12" s="114"/>
      <c r="J12" s="113"/>
      <c r="K12" s="117"/>
      <c r="L12" s="117"/>
      <c r="M12" s="117"/>
      <c r="N12" s="114"/>
      <c r="O12" s="113"/>
      <c r="P12" s="114"/>
      <c r="Q12" s="41"/>
      <c r="R12" s="41" t="s">
        <v>22</v>
      </c>
      <c r="S12" s="41"/>
      <c r="T12" s="41"/>
      <c r="U12" s="41"/>
      <c r="V12" s="41"/>
      <c r="X12" s="5"/>
    </row>
    <row r="13" spans="2:24" hidden="1">
      <c r="B13" s="151"/>
      <c r="C13" s="45" t="s">
        <v>23</v>
      </c>
      <c r="D13" s="44">
        <v>1</v>
      </c>
      <c r="E13" s="113"/>
      <c r="F13" s="117"/>
      <c r="G13" s="117"/>
      <c r="H13" s="117"/>
      <c r="I13" s="114"/>
      <c r="J13" s="113"/>
      <c r="K13" s="117"/>
      <c r="L13" s="117"/>
      <c r="M13" s="117"/>
      <c r="N13" s="114"/>
      <c r="O13" s="113"/>
      <c r="P13" s="114"/>
      <c r="Q13" s="41"/>
      <c r="R13" s="41"/>
      <c r="S13" s="41"/>
      <c r="T13" s="41"/>
      <c r="U13" s="41"/>
      <c r="V13" s="41"/>
      <c r="X13" s="5"/>
    </row>
    <row r="14" spans="2:24" hidden="1">
      <c r="B14" s="41"/>
      <c r="C14" s="45" t="s">
        <v>24</v>
      </c>
      <c r="D14" s="75">
        <v>1</v>
      </c>
      <c r="E14" s="113"/>
      <c r="F14" s="117"/>
      <c r="G14" s="117"/>
      <c r="H14" s="117"/>
      <c r="I14" s="114"/>
      <c r="J14" s="113"/>
      <c r="K14" s="117"/>
      <c r="L14" s="117"/>
      <c r="M14" s="117"/>
      <c r="N14" s="114"/>
      <c r="O14" s="113"/>
      <c r="P14" s="114"/>
      <c r="Q14" s="41"/>
      <c r="R14" s="41"/>
      <c r="S14" s="41"/>
      <c r="T14" s="41"/>
      <c r="U14" s="41"/>
      <c r="V14" s="41"/>
      <c r="X14" s="5"/>
    </row>
    <row r="15" spans="2:24" s="5" customFormat="1">
      <c r="B15" s="5" t="s">
        <v>25</v>
      </c>
      <c r="C15" s="74">
        <f>IF(OR($C$6="Full Calendar Year",$C$6="Full Academic Year"),2,IF(OR($C$6="One Semester Only",$C$6="One Semester and Summer"),1,0))</f>
        <v>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2:24" s="5" customFormat="1">
      <c r="B16" s="5" t="s">
        <v>26</v>
      </c>
      <c r="C16" s="74">
        <f>IF(OR($C$6="Full Calendar Year",$C$6="Summer Semester Only","One Semester and Summer"),1,0)</f>
        <v>1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1:24">
      <c r="B17" s="79" t="s">
        <v>27</v>
      </c>
      <c r="C17" s="38"/>
      <c r="D17" s="38"/>
      <c r="E17" s="38"/>
      <c r="F17" s="38"/>
      <c r="G17" s="38"/>
      <c r="H17" s="38"/>
      <c r="I17" s="38"/>
      <c r="X17" s="5"/>
    </row>
    <row r="18" spans="1:24">
      <c r="B18" s="5" t="s">
        <v>28</v>
      </c>
      <c r="C18" s="74" t="s">
        <v>17</v>
      </c>
      <c r="D18" s="76">
        <v>6</v>
      </c>
      <c r="E18" s="132" t="s">
        <v>19</v>
      </c>
      <c r="F18" s="133"/>
      <c r="G18" s="77">
        <v>3</v>
      </c>
      <c r="H18" s="132" t="s">
        <v>21</v>
      </c>
      <c r="I18" s="133"/>
      <c r="J18" s="77">
        <v>6</v>
      </c>
      <c r="K18" s="132" t="s">
        <v>23</v>
      </c>
      <c r="L18" s="133"/>
      <c r="M18" s="77">
        <v>6</v>
      </c>
      <c r="N18" s="132" t="s">
        <v>24</v>
      </c>
      <c r="O18" s="133"/>
      <c r="P18" s="77">
        <v>6</v>
      </c>
    </row>
    <row r="19" spans="1:24">
      <c r="B19" s="5" t="s">
        <v>29</v>
      </c>
      <c r="C19" s="74" t="s">
        <v>17</v>
      </c>
      <c r="D19" s="76">
        <v>0</v>
      </c>
      <c r="E19" s="132" t="s">
        <v>19</v>
      </c>
      <c r="F19" s="133"/>
      <c r="G19" s="77">
        <v>0</v>
      </c>
      <c r="H19" s="132" t="s">
        <v>21</v>
      </c>
      <c r="I19" s="133"/>
      <c r="J19" s="77">
        <v>0</v>
      </c>
      <c r="K19" s="132" t="s">
        <v>23</v>
      </c>
      <c r="L19" s="133"/>
      <c r="M19" s="77">
        <v>0</v>
      </c>
      <c r="N19" s="132" t="s">
        <v>24</v>
      </c>
      <c r="O19" s="133"/>
      <c r="P19" s="77">
        <v>0</v>
      </c>
    </row>
    <row r="20" spans="1:24">
      <c r="C20" s="38"/>
      <c r="D20" s="38"/>
      <c r="E20" s="38"/>
      <c r="F20" s="38"/>
      <c r="H20" s="38"/>
      <c r="I20" s="38"/>
      <c r="K20" s="38"/>
      <c r="P20" s="80"/>
    </row>
    <row r="21" spans="1:24" ht="15.6" customHeight="1">
      <c r="B21" s="6" t="s">
        <v>30</v>
      </c>
      <c r="C21" s="78" t="s">
        <v>31</v>
      </c>
    </row>
    <row r="22" spans="1:24">
      <c r="B22" s="8" t="s">
        <v>32</v>
      </c>
      <c r="C22" s="81" t="s">
        <v>18</v>
      </c>
      <c r="D22" s="5" t="s">
        <v>33</v>
      </c>
      <c r="K22" s="92">
        <v>0.03</v>
      </c>
    </row>
    <row r="23" spans="1:24">
      <c r="B23" s="8" t="s">
        <v>34</v>
      </c>
      <c r="C23" s="65" t="s">
        <v>18</v>
      </c>
    </row>
    <row r="24" spans="1:24">
      <c r="C24" s="38"/>
      <c r="D24" s="38"/>
      <c r="E24" s="38"/>
      <c r="F24" s="38"/>
      <c r="G24" s="38"/>
      <c r="H24" s="38"/>
      <c r="I24" s="38"/>
    </row>
    <row r="25" spans="1:24">
      <c r="B25" s="5" t="s">
        <v>35</v>
      </c>
      <c r="D25" s="5" t="s">
        <v>36</v>
      </c>
      <c r="P25" s="5" t="s">
        <v>37</v>
      </c>
    </row>
    <row r="26" spans="1:24" ht="89.25" customHeight="1">
      <c r="B26" s="64" t="s">
        <v>17</v>
      </c>
      <c r="C26" s="60"/>
      <c r="D26" s="130" t="s">
        <v>38</v>
      </c>
      <c r="E26" s="131"/>
      <c r="F26" s="130" t="s">
        <v>39</v>
      </c>
      <c r="G26" s="131"/>
      <c r="H26" s="130" t="s">
        <v>40</v>
      </c>
      <c r="I26" s="143"/>
      <c r="J26" s="143"/>
      <c r="K26" s="131"/>
      <c r="L26" s="130" t="s">
        <v>41</v>
      </c>
      <c r="M26" s="131"/>
      <c r="N26" s="130" t="s">
        <v>42</v>
      </c>
      <c r="O26" s="131"/>
      <c r="P26" s="55" t="s">
        <v>43</v>
      </c>
      <c r="Q26" s="137" t="s">
        <v>44</v>
      </c>
      <c r="R26" s="138"/>
      <c r="S26" s="86" t="s">
        <v>45</v>
      </c>
      <c r="T26" s="137" t="s">
        <v>46</v>
      </c>
      <c r="U26" s="138"/>
    </row>
    <row r="27" spans="1:24" s="71" customFormat="1" ht="23.1" customHeight="1">
      <c r="A27" s="66"/>
      <c r="B27" s="67" t="s">
        <v>47</v>
      </c>
      <c r="C27" s="82"/>
      <c r="D27" s="125">
        <f>$C$15</f>
        <v>2</v>
      </c>
      <c r="E27" s="126"/>
      <c r="F27" s="123">
        <f>D27*C5</f>
        <v>23000</v>
      </c>
      <c r="G27" s="124"/>
      <c r="H27" s="123">
        <f>IF(W27=1,Lists!$E$6*Student!$C$15,IF(W27=3,Lists!$E$7*Student!$C$15,Lists!$E$8*Student!$C$15))</f>
        <v>1890</v>
      </c>
      <c r="I27" s="129"/>
      <c r="J27" s="129"/>
      <c r="K27" s="124"/>
      <c r="L27" s="123">
        <f>F27+H27</f>
        <v>24890</v>
      </c>
      <c r="M27" s="124"/>
      <c r="N27" s="123">
        <f>L27*0.01</f>
        <v>248.9</v>
      </c>
      <c r="O27" s="124"/>
      <c r="P27" s="83">
        <f>_xlfn.XLOOKUP(Student!D18,Lists!A48:A60,Lists!B48:B60,0)*$C$15</f>
        <v>3779.5199999999995</v>
      </c>
      <c r="Q27" s="156">
        <f>_xlfn.XLOOKUP(Student!D18,Lists!A48:A60,Lists!C48:C60,0)*$C$15</f>
        <v>765.06</v>
      </c>
      <c r="R27" s="156"/>
      <c r="S27" s="83">
        <f>IF($C$23="y",4620,0)</f>
        <v>4620</v>
      </c>
      <c r="T27" s="152">
        <f>(P27+Q27+S27)</f>
        <v>9164.58</v>
      </c>
      <c r="U27" s="153"/>
      <c r="V27" t="s">
        <v>48</v>
      </c>
      <c r="W27" s="71">
        <f>IF(C$21="Yes",1,IF(C$21="No, student is in second Year",3,IF(C$21="No, student is in third year or later",5,7)))</f>
        <v>1</v>
      </c>
    </row>
    <row r="28" spans="1:24" s="2" customFormat="1" ht="27.6" customHeight="1">
      <c r="A28" s="7"/>
      <c r="B28" s="67" t="s">
        <v>49</v>
      </c>
      <c r="C28" s="82"/>
      <c r="D28" s="125">
        <f>$C$16</f>
        <v>1</v>
      </c>
      <c r="E28" s="126"/>
      <c r="F28" s="123">
        <f>$D$28*$C$5*3/5</f>
        <v>6900</v>
      </c>
      <c r="G28" s="124"/>
      <c r="H28" s="123">
        <f>IF(W27=1,Lists!$E$6*Student!$C$16,IF(W27=3,Lists!$E$7*Student!$C$16,Lists!$E$8*Student!$C$16))*2/5</f>
        <v>378</v>
      </c>
      <c r="I28" s="129"/>
      <c r="J28" s="129"/>
      <c r="K28" s="124"/>
      <c r="L28" s="123">
        <f>F28+H28</f>
        <v>7278</v>
      </c>
      <c r="M28" s="124"/>
      <c r="N28" s="123">
        <f>L28*0.01</f>
        <v>72.78</v>
      </c>
      <c r="O28" s="124"/>
      <c r="P28" s="84">
        <f>_xlfn.XLOOKUP(Student!D19,Lists!A48:A60,Lists!B48:B60,0)*$C$16</f>
        <v>0</v>
      </c>
      <c r="Q28" s="156">
        <f>VLOOKUP(D19,Lists!A48:C60,3,FALSE)</f>
        <v>0</v>
      </c>
      <c r="R28" s="156"/>
      <c r="S28" s="83"/>
      <c r="T28" s="152">
        <f>(P28+Q28+S28)</f>
        <v>0</v>
      </c>
      <c r="U28" s="153"/>
      <c r="V28" s="7" t="s">
        <v>50</v>
      </c>
      <c r="W28" s="2">
        <f>IF($C$22="y",POWER(1+$K$22,0),1)</f>
        <v>1</v>
      </c>
    </row>
    <row r="29" spans="1:24" ht="16.5" customHeight="1">
      <c r="B29" s="52" t="s">
        <v>51</v>
      </c>
      <c r="C29" s="53"/>
      <c r="D29" s="144"/>
      <c r="E29" s="145"/>
      <c r="F29" s="120">
        <f>SUM(F27:G28)</f>
        <v>29900</v>
      </c>
      <c r="G29" s="121"/>
      <c r="H29" s="120">
        <f>SUM(H27+H28)</f>
        <v>2268</v>
      </c>
      <c r="I29" s="122"/>
      <c r="J29" s="122"/>
      <c r="K29" s="121"/>
      <c r="L29" s="120">
        <f>L27+L28</f>
        <v>32168</v>
      </c>
      <c r="M29" s="121"/>
      <c r="N29" s="120">
        <f>N27+N28</f>
        <v>321.68</v>
      </c>
      <c r="O29" s="121"/>
      <c r="P29" s="85">
        <f>P27+P28</f>
        <v>3779.5199999999995</v>
      </c>
      <c r="Q29" s="120">
        <f>Q27+Q28</f>
        <v>765.06</v>
      </c>
      <c r="R29" s="121"/>
      <c r="S29" s="85">
        <f>S27+S28</f>
        <v>4620</v>
      </c>
      <c r="T29" s="140">
        <f>(P29+Q29+S29)</f>
        <v>9164.58</v>
      </c>
      <c r="U29" s="141"/>
      <c r="W29"/>
    </row>
    <row r="30" spans="1:24" s="1" customFormat="1" ht="15" customHeight="1">
      <c r="A30" s="8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3"/>
      <c r="V30" s="8"/>
    </row>
    <row r="31" spans="1:24" s="1" customFormat="1" ht="43.5" customHeight="1">
      <c r="A31" s="8"/>
      <c r="B31" s="64" t="s">
        <v>52</v>
      </c>
      <c r="C31" s="60"/>
      <c r="D31" s="130" t="s">
        <v>38</v>
      </c>
      <c r="E31" s="131"/>
      <c r="F31" s="130" t="s">
        <v>39</v>
      </c>
      <c r="G31" s="131"/>
      <c r="H31" s="130" t="s">
        <v>53</v>
      </c>
      <c r="I31" s="143"/>
      <c r="J31" s="143"/>
      <c r="K31" s="131"/>
      <c r="L31" s="130" t="s">
        <v>41</v>
      </c>
      <c r="M31" s="131"/>
      <c r="N31" s="130" t="s">
        <v>42</v>
      </c>
      <c r="O31" s="131"/>
      <c r="P31" s="55" t="s">
        <v>43</v>
      </c>
      <c r="Q31" s="137" t="s">
        <v>44</v>
      </c>
      <c r="R31" s="138"/>
      <c r="S31" s="86" t="s">
        <v>45</v>
      </c>
      <c r="T31" s="137" t="s">
        <v>46</v>
      </c>
      <c r="U31" s="138"/>
      <c r="V31" s="8"/>
    </row>
    <row r="32" spans="1:24" s="1" customFormat="1" ht="17.100000000000001" customHeight="1">
      <c r="A32" s="8"/>
      <c r="B32" s="67" t="s">
        <v>47</v>
      </c>
      <c r="C32" s="50"/>
      <c r="D32" s="146">
        <f>$C$15</f>
        <v>2</v>
      </c>
      <c r="E32" s="147"/>
      <c r="F32" s="135">
        <f>IF($C$22="y",F27*W33,F27)</f>
        <v>23690</v>
      </c>
      <c r="G32" s="136"/>
      <c r="H32" s="123">
        <f>IF(W32=1,Lists!$E$6*Student!$C$15,IF(W32=3,Lists!$E$7*Student!$C$15,Lists!$E$8*Student!$C$15))*W33</f>
        <v>1946.7</v>
      </c>
      <c r="I32" s="129"/>
      <c r="J32" s="129"/>
      <c r="K32" s="124"/>
      <c r="L32" s="148">
        <f>F32+H32</f>
        <v>25636.7</v>
      </c>
      <c r="M32" s="149"/>
      <c r="N32" s="148">
        <f>L32*0.01</f>
        <v>256.36700000000002</v>
      </c>
      <c r="O32" s="149"/>
      <c r="P32" s="51">
        <f>IF($C$22="y",_xlfn.XLOOKUP(Student!G18,Lists!A48:A60,Lists!B48:B60,0)*$C$15*1.02,_xlfn.XLOOKUP(Student!G18,Lists!A48:A60,Lists!B48:B60,0)*$C$15)</f>
        <v>1927.5551999999998</v>
      </c>
      <c r="Q32" s="139">
        <f>IF($C$22="y",_xlfn.XLOOKUP(Student!G18,Lists!A48:A60,Lists!C48:C60,0)*$C$15*1.02,_xlfn.XLOOKUP(Student!G18,Lists!A48:A60,Lists!C48:C60,0)*$C$15)</f>
        <v>520.20000000000005</v>
      </c>
      <c r="R32" s="139"/>
      <c r="S32" s="54">
        <f>IF($C$22="y",S27*1.02,S27)</f>
        <v>4712.3999999999996</v>
      </c>
      <c r="T32" s="154">
        <f>(P32+Q32+S32)</f>
        <v>7160.1551999999992</v>
      </c>
      <c r="U32" s="155"/>
      <c r="V32" t="s">
        <v>48</v>
      </c>
      <c r="W32" s="71">
        <f>IF(C$21="Yes",3,IF(C$21="No, student is in second Year",5,IF(C$21="No, student is in third year or later",7,9)))</f>
        <v>3</v>
      </c>
    </row>
    <row r="33" spans="1:25" s="1" customFormat="1" ht="29.1">
      <c r="A33" s="8"/>
      <c r="B33" s="67" t="s">
        <v>49</v>
      </c>
      <c r="C33" s="50"/>
      <c r="D33" s="125">
        <f>$C$16</f>
        <v>1</v>
      </c>
      <c r="E33" s="126"/>
      <c r="F33" s="127">
        <f>IF($C$22="y",F28*W33,F28)</f>
        <v>7107</v>
      </c>
      <c r="G33" s="128"/>
      <c r="H33" s="123">
        <f>IF(W32=1,Lists!$E$6*Student!$C$16,IF(W32=3,Lists!$E$7*Student!$C$16,Lists!$E$8*Student!$C$16))*2/5*W33</f>
        <v>389.34000000000003</v>
      </c>
      <c r="I33" s="129"/>
      <c r="J33" s="129"/>
      <c r="K33" s="124"/>
      <c r="L33" s="123">
        <f>F33+H33</f>
        <v>7496.34</v>
      </c>
      <c r="M33" s="124"/>
      <c r="N33" s="123">
        <f>L33*0.01</f>
        <v>74.963400000000007</v>
      </c>
      <c r="O33" s="124"/>
      <c r="P33" s="70">
        <f>IF($C$22="y",_xlfn.XLOOKUP(Student!G19,Lists!A48:A60,Lists!B48:B60,0)*$C$16*1.02,_xlfn.XLOOKUP(Student!G19,Lists!A48:A60,Lists!B48:B60,0)*$C$16)</f>
        <v>0</v>
      </c>
      <c r="Q33" s="134">
        <f>IF($C$22="y",_xlfn.XLOOKUP(Student!G19,Lists!A48:A60,Lists!C48:C60,0)*$C$16*1.02,_xlfn.XLOOKUP(Student!G19,Lists!A48:A60,Lists!C48:C60,0)*$C$16)</f>
        <v>0</v>
      </c>
      <c r="R33" s="134"/>
      <c r="S33" s="68"/>
      <c r="T33" s="152">
        <f>(P33+Q33+S33)</f>
        <v>0</v>
      </c>
      <c r="U33" s="153"/>
      <c r="V33" s="7" t="s">
        <v>50</v>
      </c>
      <c r="W33" s="2">
        <f>IF($C$22="y",POWER(1+$K$22,1),1)</f>
        <v>1.03</v>
      </c>
      <c r="Y33" s="3"/>
    </row>
    <row r="34" spans="1:25" s="1" customFormat="1">
      <c r="A34" s="8"/>
      <c r="B34" s="52" t="s">
        <v>54</v>
      </c>
      <c r="C34" s="53"/>
      <c r="D34" s="118"/>
      <c r="E34" s="119"/>
      <c r="F34" s="120">
        <f>SUM(F32:G33)</f>
        <v>30797</v>
      </c>
      <c r="G34" s="121"/>
      <c r="H34" s="120">
        <f>SUM(H32+H33)</f>
        <v>2336.04</v>
      </c>
      <c r="I34" s="122"/>
      <c r="J34" s="122"/>
      <c r="K34" s="121"/>
      <c r="L34" s="120">
        <f>L32+L33</f>
        <v>33133.040000000001</v>
      </c>
      <c r="M34" s="121"/>
      <c r="N34" s="120">
        <f>N32+N33</f>
        <v>331.33040000000005</v>
      </c>
      <c r="O34" s="121"/>
      <c r="P34" s="85">
        <f>P32+P33</f>
        <v>1927.5551999999998</v>
      </c>
      <c r="Q34" s="120">
        <f>Q32+Q33</f>
        <v>520.20000000000005</v>
      </c>
      <c r="R34" s="121"/>
      <c r="S34" s="85">
        <f>S32+S33</f>
        <v>4712.3999999999996</v>
      </c>
      <c r="T34" s="140">
        <f>(P34+Q34+S34)</f>
        <v>7160.1551999999992</v>
      </c>
      <c r="U34" s="141"/>
      <c r="V34" s="8"/>
      <c r="W34"/>
    </row>
    <row r="35" spans="1:25" s="1" customFormat="1">
      <c r="A35" s="8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  <c r="V35" s="8"/>
    </row>
    <row r="36" spans="1:25" s="1" customFormat="1" ht="47.45" customHeight="1">
      <c r="A36" s="8"/>
      <c r="B36" s="59" t="s">
        <v>21</v>
      </c>
      <c r="C36" s="60"/>
      <c r="D36" s="130" t="s">
        <v>38</v>
      </c>
      <c r="E36" s="131"/>
      <c r="F36" s="130" t="s">
        <v>39</v>
      </c>
      <c r="G36" s="131"/>
      <c r="H36" s="130" t="s">
        <v>53</v>
      </c>
      <c r="I36" s="143"/>
      <c r="J36" s="143"/>
      <c r="K36" s="131"/>
      <c r="L36" s="130" t="s">
        <v>41</v>
      </c>
      <c r="M36" s="131"/>
      <c r="N36" s="130" t="s">
        <v>42</v>
      </c>
      <c r="O36" s="131"/>
      <c r="P36" s="55" t="s">
        <v>43</v>
      </c>
      <c r="Q36" s="137" t="s">
        <v>44</v>
      </c>
      <c r="R36" s="138"/>
      <c r="S36" s="86" t="s">
        <v>45</v>
      </c>
      <c r="T36" s="137" t="s">
        <v>46</v>
      </c>
      <c r="U36" s="138"/>
      <c r="V36" s="8"/>
    </row>
    <row r="37" spans="1:25" ht="21.95" customHeight="1">
      <c r="B37" s="67" t="s">
        <v>47</v>
      </c>
      <c r="C37" s="50"/>
      <c r="D37" s="125">
        <f>$C$15</f>
        <v>2</v>
      </c>
      <c r="E37" s="126"/>
      <c r="F37" s="127">
        <f>IF($C$22="y",F27*W38,F27)</f>
        <v>24400.7</v>
      </c>
      <c r="G37" s="128"/>
      <c r="H37" s="123">
        <f>IF(W37=1,Lists!$E$6*Student!$C$15,IF(W37=3,Lists!$E$7*Student!$C$15,Lists!$E$8*Student!$C$15))</f>
        <v>2390</v>
      </c>
      <c r="I37" s="129"/>
      <c r="J37" s="129"/>
      <c r="K37" s="124"/>
      <c r="L37" s="123">
        <f>F37+H37</f>
        <v>26790.7</v>
      </c>
      <c r="M37" s="124"/>
      <c r="N37" s="123">
        <f>L37*0.01</f>
        <v>267.90700000000004</v>
      </c>
      <c r="O37" s="124"/>
      <c r="P37" s="70">
        <f>IF($C$22="y",_xlfn.XLOOKUP(Student!J18,Lists!A53:A62,Lists!B53:B62,0)*$C$15*POWER(1.02,2),_xlfn.XLOOKUP(Student!J18,Lists!A53:A62,Lists!B53:B62,0)*$C$15)</f>
        <v>3932.2126079999994</v>
      </c>
      <c r="Q37" s="134">
        <f>IF($C$22="y",_xlfn.XLOOKUP(Student!J18,Lists!A53:A62,Lists!C53:C62,0)*$C$15*POWER(1.02,2),_xlfn.XLOOKUP(Student!J18,Lists!A53:A62,Lists!C53:C62,0)*$C$15)</f>
        <v>795.96842399999991</v>
      </c>
      <c r="R37" s="134"/>
      <c r="S37" s="68">
        <f>IF($C$22="y",S32*1.02,S32)</f>
        <v>4806.6480000000001</v>
      </c>
      <c r="T37" s="152">
        <f>(P37+Q37+S37)</f>
        <v>9534.8290319999996</v>
      </c>
      <c r="U37" s="153"/>
      <c r="V37" t="s">
        <v>48</v>
      </c>
      <c r="W37" s="71">
        <f>IF(C$21="Yes",5,IF(C$21="No, student is in second Year",7,IF(C$21="No, student is in third year or later",9,11)))</f>
        <v>5</v>
      </c>
    </row>
    <row r="38" spans="1:25" ht="29.1">
      <c r="B38" s="67" t="s">
        <v>49</v>
      </c>
      <c r="C38" s="50"/>
      <c r="D38" s="125">
        <f>$C$16</f>
        <v>1</v>
      </c>
      <c r="E38" s="126"/>
      <c r="F38" s="127">
        <f>IF($C$22="y",F28*W38,F28)</f>
        <v>7320.21</v>
      </c>
      <c r="G38" s="128"/>
      <c r="H38" s="123">
        <f>IF(W37=1,Lists!$E$6*Student!$C$16,IF(W37=3,Lists!$E$7*Student!$C$16,Lists!$E$8*Student!$C$16))*2/5</f>
        <v>478</v>
      </c>
      <c r="I38" s="129"/>
      <c r="J38" s="129"/>
      <c r="K38" s="124"/>
      <c r="L38" s="123">
        <f>F38+H38</f>
        <v>7798.21</v>
      </c>
      <c r="M38" s="124"/>
      <c r="N38" s="123">
        <f>L38*0.01</f>
        <v>77.982100000000003</v>
      </c>
      <c r="O38" s="124"/>
      <c r="P38" s="70">
        <f>IF($C$22="y",_xlfn.XLOOKUP(Student!J19,Lists!A53:A62,Lists!B53:B62,0)*$C$16*POWER(1.02,2),_xlfn.XLOOKUP(Student!J19,Lists!A53:A62,Lists!B53:B62,0)*$C$16)</f>
        <v>0</v>
      </c>
      <c r="Q38" s="134">
        <f>IF($C$22="y",_xlfn.XLOOKUP(Student!J19,Lists!A53:A62,Lists!C53:C62,0)*$C$16*POWER(1.02,2),_xlfn.XLOOKUP(Student!J19,Lists!A53:A62,Lists!C53:C62,0)*$C$16)</f>
        <v>0</v>
      </c>
      <c r="R38" s="134"/>
      <c r="S38" s="68"/>
      <c r="T38" s="152">
        <f>(P38+Q38+S38)</f>
        <v>0</v>
      </c>
      <c r="U38" s="153"/>
      <c r="V38" s="7" t="s">
        <v>50</v>
      </c>
      <c r="W38" s="90">
        <f>IF($C$22="y",POWER(1+$K$22,2),1)</f>
        <v>1.0609</v>
      </c>
    </row>
    <row r="39" spans="1:25">
      <c r="B39" s="52" t="s">
        <v>55</v>
      </c>
      <c r="C39" s="53"/>
      <c r="D39" s="118"/>
      <c r="E39" s="119"/>
      <c r="F39" s="120">
        <f>SUM(F37:G38)</f>
        <v>31720.91</v>
      </c>
      <c r="G39" s="121"/>
      <c r="H39" s="120">
        <f>SUM(H37+H38)</f>
        <v>2868</v>
      </c>
      <c r="I39" s="122"/>
      <c r="J39" s="122"/>
      <c r="K39" s="121"/>
      <c r="L39" s="120">
        <f>L37+L38</f>
        <v>34588.910000000003</v>
      </c>
      <c r="M39" s="121"/>
      <c r="N39" s="120">
        <f>N37+N38</f>
        <v>345.88910000000004</v>
      </c>
      <c r="O39" s="121"/>
      <c r="P39" s="85">
        <f>P37+P38</f>
        <v>3932.2126079999994</v>
      </c>
      <c r="Q39" s="120">
        <f>Q37+Q38</f>
        <v>795.96842399999991</v>
      </c>
      <c r="R39" s="121"/>
      <c r="S39" s="85">
        <f>S37+S38</f>
        <v>4806.6480000000001</v>
      </c>
      <c r="T39" s="140">
        <f>(P39+Q39+S39)</f>
        <v>9534.8290319999996</v>
      </c>
      <c r="U39" s="141"/>
      <c r="W39"/>
    </row>
    <row r="40" spans="1:25"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  <c r="W40"/>
    </row>
    <row r="41" spans="1:25" ht="49.5" customHeight="1">
      <c r="B41" s="59" t="s">
        <v>56</v>
      </c>
      <c r="C41" s="60"/>
      <c r="D41" s="130" t="s">
        <v>38</v>
      </c>
      <c r="E41" s="131"/>
      <c r="F41" s="130" t="s">
        <v>39</v>
      </c>
      <c r="G41" s="131"/>
      <c r="H41" s="130" t="s">
        <v>53</v>
      </c>
      <c r="I41" s="143"/>
      <c r="J41" s="143"/>
      <c r="K41" s="131"/>
      <c r="L41" s="130" t="s">
        <v>41</v>
      </c>
      <c r="M41" s="131"/>
      <c r="N41" s="130" t="s">
        <v>42</v>
      </c>
      <c r="O41" s="131"/>
      <c r="P41" s="55" t="s">
        <v>43</v>
      </c>
      <c r="Q41" s="137" t="s">
        <v>44</v>
      </c>
      <c r="R41" s="138"/>
      <c r="S41" s="86" t="s">
        <v>45</v>
      </c>
      <c r="T41" s="137" t="s">
        <v>46</v>
      </c>
      <c r="U41" s="138"/>
      <c r="W41"/>
    </row>
    <row r="42" spans="1:25" ht="18" customHeight="1">
      <c r="B42" s="67" t="s">
        <v>47</v>
      </c>
      <c r="C42" s="50"/>
      <c r="D42" s="125">
        <f>$C$15</f>
        <v>2</v>
      </c>
      <c r="E42" s="126"/>
      <c r="F42" s="127">
        <f>IF($C$22="y",F27*W43,F27)</f>
        <v>25132.721000000001</v>
      </c>
      <c r="G42" s="128"/>
      <c r="H42" s="123">
        <f>IF(W42=1,Lists!$E$6*Student!$C$15,IF(W42=3,Lists!$E$7*Student!$C$15,Lists!$E$8*Student!$C$15))</f>
        <v>2390</v>
      </c>
      <c r="I42" s="129"/>
      <c r="J42" s="129"/>
      <c r="K42" s="124"/>
      <c r="L42" s="123">
        <f>F42+H42</f>
        <v>27522.721000000001</v>
      </c>
      <c r="M42" s="124"/>
      <c r="N42" s="123">
        <f>L42*0.01</f>
        <v>275.22721000000001</v>
      </c>
      <c r="O42" s="124"/>
      <c r="P42" s="68">
        <f>IF($C$22="y",_xlfn.XLOOKUP(Student!M18,Lists!A53:A62,Lists!B53:B62,0)*$C$15*POWER(1.02,3),_xlfn.XLOOKUP(Student!M18,Lists!A53:A62,Lists!B53:B62,0)*$C$15)</f>
        <v>4010.8568601599991</v>
      </c>
      <c r="Q42" s="127">
        <f>IF($C$22="y",_xlfn.XLOOKUP(Student!M18,Lists!A53:A62,Lists!C53:C62,0)*$C$15*POWER(1.02,3),_xlfn.XLOOKUP(Student!M18,Lists!A53:A62,Lists!C53:C62,0)*$C$15)</f>
        <v>811.88779247999992</v>
      </c>
      <c r="R42" s="128"/>
      <c r="S42" s="68">
        <f>IF($C$22="y",S37*1.02,S37)</f>
        <v>4902.7809600000001</v>
      </c>
      <c r="T42" s="152">
        <f>(P42+Q42+S42)</f>
        <v>9725.5256126399981</v>
      </c>
      <c r="U42" s="153"/>
      <c r="V42" t="s">
        <v>48</v>
      </c>
      <c r="W42" s="71">
        <f>IF(C$21="Yes",7,IF(C$21="No, student is in second Year",9,IF(C$21="No, student is in third year or later",11,13)))</f>
        <v>7</v>
      </c>
    </row>
    <row r="43" spans="1:25" ht="29.1">
      <c r="B43" s="67" t="s">
        <v>49</v>
      </c>
      <c r="C43" s="50"/>
      <c r="D43" s="125">
        <f>$C$16</f>
        <v>1</v>
      </c>
      <c r="E43" s="126"/>
      <c r="F43" s="127">
        <f>IF($C$22="y",F28*W43,F28)</f>
        <v>7539.8163000000004</v>
      </c>
      <c r="G43" s="128"/>
      <c r="H43" s="123">
        <f>IF(W42=1,Lists!$E$6*Student!$C$16,IF(W42=3,Lists!$E$7*Student!$C$16,Lists!$E$8*Student!$C$16))*2/5</f>
        <v>478</v>
      </c>
      <c r="I43" s="129"/>
      <c r="J43" s="129"/>
      <c r="K43" s="124"/>
      <c r="L43" s="123">
        <f>F43+H43</f>
        <v>8017.8163000000004</v>
      </c>
      <c r="M43" s="124"/>
      <c r="N43" s="123">
        <f>L43*0.01</f>
        <v>80.178163000000012</v>
      </c>
      <c r="O43" s="124"/>
      <c r="P43" s="68">
        <f>IF($C$22="y",_xlfn.XLOOKUP(Student!M19,Lists!A53:A62,Lists!B53:B62,0)*$C$16*POWER(1.02,3),_xlfn.XLOOKUP(Student!M19,Lists!A53:A62,Lists!B53:B62,0)*$C$16)</f>
        <v>0</v>
      </c>
      <c r="Q43" s="127">
        <f>IF($C$22="y",_xlfn.XLOOKUP(Student!M19,Lists!A48:A60,Lists!C48:C60,0)*$C$16*POWER(1.02,3),_xlfn.XLOOKUP(Student!M19,Lists!A48:A60,Lists!C48:C60,0)*$C$16)</f>
        <v>0</v>
      </c>
      <c r="R43" s="128"/>
      <c r="S43" s="69"/>
      <c r="T43" s="152">
        <f>(P43+Q43+S43)</f>
        <v>0</v>
      </c>
      <c r="U43" s="153"/>
      <c r="V43" s="7" t="s">
        <v>50</v>
      </c>
      <c r="W43" s="89">
        <f>IF($C$22="y",POWER(1+$K$22,3),1)</f>
        <v>1.092727</v>
      </c>
    </row>
    <row r="44" spans="1:25">
      <c r="B44" s="52" t="s">
        <v>56</v>
      </c>
      <c r="C44" s="53"/>
      <c r="D44" s="144"/>
      <c r="E44" s="145"/>
      <c r="F44" s="120">
        <f>SUM(F42:G43)</f>
        <v>32672.537300000004</v>
      </c>
      <c r="G44" s="121"/>
      <c r="H44" s="120">
        <f>SUM(H42+H43)</f>
        <v>2868</v>
      </c>
      <c r="I44" s="122"/>
      <c r="J44" s="122"/>
      <c r="K44" s="121"/>
      <c r="L44" s="120">
        <f>L42+L43</f>
        <v>35540.537300000004</v>
      </c>
      <c r="M44" s="121"/>
      <c r="N44" s="120">
        <f>N42+N43</f>
        <v>355.40537300000005</v>
      </c>
      <c r="O44" s="121"/>
      <c r="P44" s="85">
        <f>P42+P43</f>
        <v>4010.8568601599991</v>
      </c>
      <c r="Q44" s="120">
        <f>Q42+Q43</f>
        <v>811.88779247999992</v>
      </c>
      <c r="R44" s="121"/>
      <c r="S44" s="85">
        <f>S42+S43</f>
        <v>4902.7809600000001</v>
      </c>
      <c r="T44" s="140">
        <f>(P44+Q44+S44)</f>
        <v>9725.5256126399981</v>
      </c>
      <c r="U44" s="141"/>
      <c r="W44"/>
    </row>
    <row r="45" spans="1:25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W45"/>
    </row>
    <row r="46" spans="1:25" ht="48.6" customHeight="1">
      <c r="B46" s="59" t="s">
        <v>57</v>
      </c>
      <c r="C46" s="60"/>
      <c r="D46" s="130" t="s">
        <v>38</v>
      </c>
      <c r="E46" s="131"/>
      <c r="F46" s="130" t="s">
        <v>39</v>
      </c>
      <c r="G46" s="131"/>
      <c r="H46" s="130" t="s">
        <v>53</v>
      </c>
      <c r="I46" s="143"/>
      <c r="J46" s="143"/>
      <c r="K46" s="131"/>
      <c r="L46" s="130" t="s">
        <v>41</v>
      </c>
      <c r="M46" s="131"/>
      <c r="N46" s="130" t="s">
        <v>42</v>
      </c>
      <c r="O46" s="131"/>
      <c r="P46" s="55" t="s">
        <v>43</v>
      </c>
      <c r="Q46" s="137" t="s">
        <v>44</v>
      </c>
      <c r="R46" s="138"/>
      <c r="S46" s="86" t="s">
        <v>45</v>
      </c>
      <c r="T46" s="137" t="s">
        <v>46</v>
      </c>
      <c r="U46" s="138"/>
      <c r="W46"/>
    </row>
    <row r="47" spans="1:25" ht="24.6" customHeight="1">
      <c r="B47" s="67" t="s">
        <v>47</v>
      </c>
      <c r="C47" s="50"/>
      <c r="D47" s="125">
        <f>$C$15</f>
        <v>2</v>
      </c>
      <c r="E47" s="126"/>
      <c r="F47" s="127">
        <f>IF($C$22="y",F27*W48,F27)</f>
        <v>25886.70263</v>
      </c>
      <c r="G47" s="128"/>
      <c r="H47" s="123">
        <f>IF(W47=1,Lists!$E$6*Student!$C$15,IF(W47=3,Lists!$E$7*Student!$C$15,Lists!$E$8*Student!$C$15))</f>
        <v>2390</v>
      </c>
      <c r="I47" s="129"/>
      <c r="J47" s="129"/>
      <c r="K47" s="124"/>
      <c r="L47" s="123">
        <f>F47+H47</f>
        <v>28276.70263</v>
      </c>
      <c r="M47" s="124"/>
      <c r="N47" s="123">
        <f>L47*0.01</f>
        <v>282.7670263</v>
      </c>
      <c r="O47" s="124"/>
      <c r="P47" s="54">
        <f>IF($C$22="y",_xlfn.XLOOKUP(Student!P18,Lists!A53:A62,Lists!B53:B62,0)*$C$15*POWER(1.02,4),_xlfn.XLOOKUP(Student!P18,Lists!A53:A62,Lists!B53:B62,0)*$C$15)</f>
        <v>4091.0739973631994</v>
      </c>
      <c r="Q47" s="135">
        <f>IF($C$22="y",_xlfn.XLOOKUP(Student!M18,Lists!A53:A62,Lists!C53:C62,0)*$C$15*POWER(1.02,4),_xlfn.XLOOKUP(Student!M18,Lists!A53:A62,Lists!C53:C62,0)*$C$15)</f>
        <v>828.12554832959995</v>
      </c>
      <c r="R47" s="136"/>
      <c r="S47" s="68">
        <f>IF($C$22="y",S42*1.02,S42)</f>
        <v>5000.8365792000004</v>
      </c>
      <c r="T47" s="152">
        <f>(P47+Q47+S47)</f>
        <v>9920.0361248928002</v>
      </c>
      <c r="U47" s="153"/>
      <c r="V47" t="s">
        <v>48</v>
      </c>
      <c r="W47" s="71">
        <f>IF(C$21="Yes",9,IF(C$21="No, student is in second Year",11,IF(C$21="No, student is in third year or later",13,15)))</f>
        <v>9</v>
      </c>
    </row>
    <row r="48" spans="1:25" ht="29.1">
      <c r="B48" s="67" t="s">
        <v>49</v>
      </c>
      <c r="C48" s="50"/>
      <c r="D48" s="125">
        <f>$C$16</f>
        <v>1</v>
      </c>
      <c r="E48" s="126"/>
      <c r="F48" s="127">
        <f>IF($C$22="y",F28*W48,F28)</f>
        <v>7766.010788999999</v>
      </c>
      <c r="G48" s="128"/>
      <c r="H48" s="123">
        <f>IF(W47=1,Lists!$E$6*Student!$C$16,IF(W47=3,Lists!$E$7*Student!$C$16,Lists!$E$8*Student!$C$16))*2/5</f>
        <v>478</v>
      </c>
      <c r="I48" s="129"/>
      <c r="J48" s="129"/>
      <c r="K48" s="124"/>
      <c r="L48" s="123">
        <f>F48+H48</f>
        <v>8244.0107889999999</v>
      </c>
      <c r="M48" s="124"/>
      <c r="N48" s="123">
        <f>L48*0.01</f>
        <v>82.440107890000007</v>
      </c>
      <c r="O48" s="124"/>
      <c r="P48" s="54">
        <f>IF($C$22="y",_xlfn.XLOOKUP(Student!M19,Lists!A53:A62,Lists!B53:B62,0)*$C$16*POWER(1.02,4),_xlfn.XLOOKUP(Student!M19,Lists!A53:A62,Lists!B53:B62,0)*$C$16)</f>
        <v>0</v>
      </c>
      <c r="Q48" s="135">
        <f>IF($C$22="y",_xlfn.XLOOKUP(Student!M19,Lists!A48:A60,Lists!C48:C60,0)*$C$16*POWER(1.02,4),_xlfn.XLOOKUP(Student!M19,Lists!A48:A60,Lists!C48:C60,0)*$C$16)</f>
        <v>0</v>
      </c>
      <c r="R48" s="136"/>
      <c r="S48" s="87"/>
      <c r="T48" s="152">
        <f>(P48+Q48+S48)</f>
        <v>0</v>
      </c>
      <c r="U48" s="153"/>
      <c r="V48" s="7" t="s">
        <v>50</v>
      </c>
      <c r="W48" s="89">
        <f>IF($C$22="y",POWER(1+$K$22,4),1)</f>
        <v>1.1255088099999999</v>
      </c>
      <c r="Y48" s="4"/>
    </row>
    <row r="49" spans="2:23">
      <c r="B49" s="52" t="s">
        <v>57</v>
      </c>
      <c r="C49" s="53"/>
      <c r="D49" s="118"/>
      <c r="E49" s="119"/>
      <c r="F49" s="120">
        <f>SUM(F47:G48)</f>
        <v>33652.713419</v>
      </c>
      <c r="G49" s="121"/>
      <c r="H49" s="120">
        <f>SUM(H47+H48)</f>
        <v>2868</v>
      </c>
      <c r="I49" s="122"/>
      <c r="J49" s="122"/>
      <c r="K49" s="121"/>
      <c r="L49" s="120">
        <f>L47+L48</f>
        <v>36520.713419</v>
      </c>
      <c r="M49" s="121"/>
      <c r="N49" s="120">
        <f>N47+N48</f>
        <v>365.20713419000003</v>
      </c>
      <c r="O49" s="121"/>
      <c r="P49" s="85">
        <f>P47+P48</f>
        <v>4091.0739973631994</v>
      </c>
      <c r="Q49" s="120">
        <f>Q47+Q48</f>
        <v>828.12554832959995</v>
      </c>
      <c r="R49" s="121"/>
      <c r="S49" s="85">
        <f>S47+S48</f>
        <v>5000.8365792000004</v>
      </c>
      <c r="T49" s="140">
        <f>(P49+Q49+S49)</f>
        <v>9920.0361248928002</v>
      </c>
      <c r="U49" s="141"/>
      <c r="W49"/>
    </row>
    <row r="50" spans="2:23" ht="15" customHeight="1"/>
    <row r="51" spans="2:23"/>
    <row r="52" spans="2:23"/>
    <row r="53" spans="2:23"/>
    <row r="54" spans="2:23"/>
  </sheetData>
  <sheetProtection formatCells="0" formatColumns="0" formatRows="0" insertColumns="0" insertRows="0" insertHyperlinks="0" deleteColumns="0" deleteRows="0" sort="0" autoFilter="0" pivotTables="0"/>
  <mergeCells count="174">
    <mergeCell ref="N32:O32"/>
    <mergeCell ref="C5:I5"/>
    <mergeCell ref="B9:B13"/>
    <mergeCell ref="T48:U48"/>
    <mergeCell ref="T27:U27"/>
    <mergeCell ref="T28:U28"/>
    <mergeCell ref="T32:U32"/>
    <mergeCell ref="T33:U33"/>
    <mergeCell ref="T37:U37"/>
    <mergeCell ref="T38:U38"/>
    <mergeCell ref="T42:U42"/>
    <mergeCell ref="T43:U43"/>
    <mergeCell ref="T47:U47"/>
    <mergeCell ref="D36:E36"/>
    <mergeCell ref="F36:G36"/>
    <mergeCell ref="H36:K36"/>
    <mergeCell ref="L36:M36"/>
    <mergeCell ref="Q36:R36"/>
    <mergeCell ref="N36:O36"/>
    <mergeCell ref="N39:O39"/>
    <mergeCell ref="Q29:R29"/>
    <mergeCell ref="H26:K26"/>
    <mergeCell ref="Q28:R28"/>
    <mergeCell ref="Q27:R27"/>
    <mergeCell ref="D32:E32"/>
    <mergeCell ref="D34:E34"/>
    <mergeCell ref="F34:G34"/>
    <mergeCell ref="H34:K34"/>
    <mergeCell ref="L34:M34"/>
    <mergeCell ref="D27:E27"/>
    <mergeCell ref="D28:E28"/>
    <mergeCell ref="D29:E29"/>
    <mergeCell ref="F26:G26"/>
    <mergeCell ref="F27:G27"/>
    <mergeCell ref="F28:G28"/>
    <mergeCell ref="F32:G32"/>
    <mergeCell ref="H32:K32"/>
    <mergeCell ref="L32:M32"/>
    <mergeCell ref="D31:E31"/>
    <mergeCell ref="F31:G31"/>
    <mergeCell ref="H31:K31"/>
    <mergeCell ref="L31:M31"/>
    <mergeCell ref="D33:E33"/>
    <mergeCell ref="F33:G33"/>
    <mergeCell ref="H33:K33"/>
    <mergeCell ref="L33:M33"/>
    <mergeCell ref="D46:E46"/>
    <mergeCell ref="F46:G46"/>
    <mergeCell ref="H46:K46"/>
    <mergeCell ref="L46:M46"/>
    <mergeCell ref="H41:K41"/>
    <mergeCell ref="L41:M41"/>
    <mergeCell ref="Q41:R41"/>
    <mergeCell ref="D44:E44"/>
    <mergeCell ref="F44:G44"/>
    <mergeCell ref="H44:K44"/>
    <mergeCell ref="L44:M44"/>
    <mergeCell ref="Q44:R44"/>
    <mergeCell ref="N44:O44"/>
    <mergeCell ref="N42:O42"/>
    <mergeCell ref="N43:O43"/>
    <mergeCell ref="N41:O41"/>
    <mergeCell ref="Q43:R43"/>
    <mergeCell ref="D43:E43"/>
    <mergeCell ref="D42:E42"/>
    <mergeCell ref="D41:E41"/>
    <mergeCell ref="F41:G41"/>
    <mergeCell ref="D48:E48"/>
    <mergeCell ref="F48:G48"/>
    <mergeCell ref="H48:K48"/>
    <mergeCell ref="L48:M48"/>
    <mergeCell ref="N48:O48"/>
    <mergeCell ref="D47:E47"/>
    <mergeCell ref="F47:G47"/>
    <mergeCell ref="H47:K47"/>
    <mergeCell ref="L47:M47"/>
    <mergeCell ref="Q26:R26"/>
    <mergeCell ref="Q32:R32"/>
    <mergeCell ref="Q31:R31"/>
    <mergeCell ref="N31:O31"/>
    <mergeCell ref="Q46:R46"/>
    <mergeCell ref="N46:O46"/>
    <mergeCell ref="C2:I2"/>
    <mergeCell ref="C3:I3"/>
    <mergeCell ref="T49:U49"/>
    <mergeCell ref="T26:U26"/>
    <mergeCell ref="N26:O26"/>
    <mergeCell ref="T29:U29"/>
    <mergeCell ref="T31:U31"/>
    <mergeCell ref="T34:U34"/>
    <mergeCell ref="T36:U36"/>
    <mergeCell ref="T39:U39"/>
    <mergeCell ref="T41:U41"/>
    <mergeCell ref="T44:U44"/>
    <mergeCell ref="T46:U46"/>
    <mergeCell ref="Q49:R49"/>
    <mergeCell ref="N49:O49"/>
    <mergeCell ref="D49:E49"/>
    <mergeCell ref="F49:G49"/>
    <mergeCell ref="C4:I4"/>
    <mergeCell ref="H49:K49"/>
    <mergeCell ref="F37:G37"/>
    <mergeCell ref="Q33:R33"/>
    <mergeCell ref="Q37:R37"/>
    <mergeCell ref="Q38:R38"/>
    <mergeCell ref="Q42:R42"/>
    <mergeCell ref="Q39:R39"/>
    <mergeCell ref="H37:K37"/>
    <mergeCell ref="L37:M37"/>
    <mergeCell ref="Q47:R47"/>
    <mergeCell ref="Q48:R48"/>
    <mergeCell ref="L49:M49"/>
    <mergeCell ref="N47:O47"/>
    <mergeCell ref="F42:G42"/>
    <mergeCell ref="H42:K42"/>
    <mergeCell ref="L42:M42"/>
    <mergeCell ref="F43:G43"/>
    <mergeCell ref="H43:K43"/>
    <mergeCell ref="L43:M43"/>
    <mergeCell ref="N33:O33"/>
    <mergeCell ref="Q34:R34"/>
    <mergeCell ref="N34:O34"/>
    <mergeCell ref="N27:O27"/>
    <mergeCell ref="N28:O28"/>
    <mergeCell ref="N29:O29"/>
    <mergeCell ref="D26:E26"/>
    <mergeCell ref="L28:M28"/>
    <mergeCell ref="L29:M29"/>
    <mergeCell ref="N18:O18"/>
    <mergeCell ref="N19:O19"/>
    <mergeCell ref="E18:F18"/>
    <mergeCell ref="E19:F19"/>
    <mergeCell ref="H18:I18"/>
    <mergeCell ref="H27:K27"/>
    <mergeCell ref="H28:K28"/>
    <mergeCell ref="H29:K29"/>
    <mergeCell ref="L26:M26"/>
    <mergeCell ref="L27:M27"/>
    <mergeCell ref="F29:G29"/>
    <mergeCell ref="H19:I19"/>
    <mergeCell ref="K18:L18"/>
    <mergeCell ref="K19:L19"/>
    <mergeCell ref="D39:E39"/>
    <mergeCell ref="F39:G39"/>
    <mergeCell ref="H39:K39"/>
    <mergeCell ref="L39:M39"/>
    <mergeCell ref="N37:O37"/>
    <mergeCell ref="D38:E38"/>
    <mergeCell ref="F38:G38"/>
    <mergeCell ref="H38:K38"/>
    <mergeCell ref="L38:M38"/>
    <mergeCell ref="N38:O38"/>
    <mergeCell ref="D37:E37"/>
    <mergeCell ref="N5:P5"/>
    <mergeCell ref="C6:I6"/>
    <mergeCell ref="E8:N8"/>
    <mergeCell ref="O10:P10"/>
    <mergeCell ref="O11:P11"/>
    <mergeCell ref="O12:P12"/>
    <mergeCell ref="O13:P13"/>
    <mergeCell ref="O14:P14"/>
    <mergeCell ref="O9:P9"/>
    <mergeCell ref="E10:I10"/>
    <mergeCell ref="J10:N10"/>
    <mergeCell ref="E11:I11"/>
    <mergeCell ref="J11:N11"/>
    <mergeCell ref="E12:I12"/>
    <mergeCell ref="J12:N12"/>
    <mergeCell ref="E13:I13"/>
    <mergeCell ref="J13:N13"/>
    <mergeCell ref="E14:I14"/>
    <mergeCell ref="J14:N14"/>
    <mergeCell ref="J9:N9"/>
    <mergeCell ref="E9:I9"/>
  </mergeCells>
  <phoneticPr fontId="3" type="noConversion"/>
  <conditionalFormatting sqref="C2:C6">
    <cfRule type="containsBlanks" dxfId="11" priority="1">
      <formula>LEN(TRIM(C2))=0</formula>
    </cfRule>
  </conditionalFormatting>
  <conditionalFormatting sqref="C21:C23">
    <cfRule type="containsBlanks" dxfId="10" priority="32">
      <formula>LEN(TRIM(C21))=0</formula>
    </cfRule>
  </conditionalFormatting>
  <conditionalFormatting sqref="C5:I5">
    <cfRule type="cellIs" dxfId="9" priority="14" operator="lessThan">
      <formula>$C$4</formula>
    </cfRule>
  </conditionalFormatting>
  <conditionalFormatting sqref="D10:D14">
    <cfRule type="containsBlanks" dxfId="8" priority="5">
      <formula>LEN(TRIM(D10))=0</formula>
    </cfRule>
  </conditionalFormatting>
  <conditionalFormatting sqref="D18:D19 G18:G19">
    <cfRule type="expression" dxfId="7" priority="13">
      <formula>$C$6="Manual"</formula>
    </cfRule>
  </conditionalFormatting>
  <conditionalFormatting sqref="D10:E14 J10:J14 O10:O14 D15:D16 H15:H16 M15:M16">
    <cfRule type="expression" dxfId="6" priority="3">
      <formula>$C$6="manual"</formula>
    </cfRule>
  </conditionalFormatting>
  <conditionalFormatting sqref="J18">
    <cfRule type="expression" dxfId="5" priority="17">
      <formula>$C$6="Manual"</formula>
    </cfRule>
  </conditionalFormatting>
  <conditionalFormatting sqref="J19">
    <cfRule type="expression" dxfId="4" priority="11">
      <formula>$C$6="manual"</formula>
    </cfRule>
  </conditionalFormatting>
  <conditionalFormatting sqref="M18">
    <cfRule type="expression" dxfId="3" priority="16">
      <formula>$C$6="Manual"</formula>
    </cfRule>
  </conditionalFormatting>
  <conditionalFormatting sqref="M19">
    <cfRule type="expression" dxfId="2" priority="10">
      <formula>$C$6="manual"</formula>
    </cfRule>
  </conditionalFormatting>
  <conditionalFormatting sqref="P18">
    <cfRule type="expression" dxfId="1" priority="15">
      <formula>$C$6="Manual"</formula>
    </cfRule>
  </conditionalFormatting>
  <conditionalFormatting sqref="P19">
    <cfRule type="expression" dxfId="0" priority="9">
      <formula>$C$6="manual"</formula>
    </cfRule>
  </conditionalFormatting>
  <dataValidations count="1">
    <dataValidation type="list" allowBlank="1" showInputMessage="1" showErrorMessage="1" sqref="C24 E8:J9 C17:I17" xr:uid="{41BE1DCB-569D-4C0E-94D7-816A122CBDFB}">
      <formula1>#REF!</formula1>
    </dataValidation>
  </dataValidations>
  <pageMargins left="0.7" right="0.7" top="0.75" bottom="0.75" header="0.3" footer="0.3"/>
  <pageSetup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28B8D49-CAA2-4CCF-B048-9DBC529A56EA}">
          <x14:formula1>
            <xm:f>Lists!$B$6:$B$8</xm:f>
          </x14:formula1>
          <xm:sqref>C21</xm:sqref>
        </x14:dataValidation>
        <x14:dataValidation type="list" allowBlank="1" showInputMessage="1" showErrorMessage="1" xr:uid="{E4850F53-71D5-4FF7-BED8-CCCB04F381BD}">
          <x14:formula1>
            <xm:f>Lists!$A$14:$A$45</xm:f>
          </x14:formula1>
          <xm:sqref>C3:I3</xm:sqref>
        </x14:dataValidation>
        <x14:dataValidation type="list" allowBlank="1" showInputMessage="1" showErrorMessage="1" xr:uid="{26378A35-F3F3-4897-AE8B-279B83B81FA0}">
          <x14:formula1>
            <xm:f>Lists!$A$1:$A$4</xm:f>
          </x14:formula1>
          <xm:sqref>C6:I6</xm:sqref>
        </x14:dataValidation>
        <x14:dataValidation type="list" allowBlank="1" showInputMessage="1" showErrorMessage="1" xr:uid="{E043D5DE-EA94-4A54-973B-D8F64A48F466}">
          <x14:formula1>
            <xm:f>Lists!$A$48:$A$60</xm:f>
          </x14:formula1>
          <xm:sqref>D18:D19 J18:J19 G18:G19 P18:P19 M18:M19</xm:sqref>
        </x14:dataValidation>
        <x14:dataValidation type="list" allowBlank="1" showInputMessage="1" showErrorMessage="1" xr:uid="{02836318-1EA9-40BA-B82C-FF730C5CB1E0}">
          <x14:formula1>
            <xm:f>Lists!$A$5:$A$6</xm:f>
          </x14:formula1>
          <xm:sqref>C22:C23 J10:J14 H15:H16 O10:O14 M15:M16 E10:E14</xm:sqref>
        </x14:dataValidation>
        <x14:dataValidation type="list" allowBlank="1" showInputMessage="1" showErrorMessage="1" xr:uid="{F6C5EE59-F950-47E3-9DA8-76DFB6C22C76}">
          <x14:formula1>
            <xm:f>Lists!$G$6:$G$9</xm:f>
          </x14:formula1>
          <xm:sqref>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F5-DF05-4712-AC9B-6C0C88598DAB}">
  <sheetPr codeName="Sheet2"/>
  <dimension ref="A1:N96"/>
  <sheetViews>
    <sheetView zoomScaleNormal="100" workbookViewId="0">
      <selection activeCell="B80" sqref="B80"/>
    </sheetView>
  </sheetViews>
  <sheetFormatPr defaultColWidth="9.28515625" defaultRowHeight="14.45"/>
  <cols>
    <col min="1" max="1" width="32" style="9" bestFit="1" customWidth="1"/>
    <col min="2" max="2" width="12.7109375" style="9" customWidth="1"/>
    <col min="3" max="3" width="26.42578125" style="9" customWidth="1"/>
    <col min="4" max="4" width="18" style="9" customWidth="1"/>
    <col min="5" max="5" width="18.7109375" style="9" customWidth="1"/>
    <col min="6" max="6" width="14" style="9" bestFit="1" customWidth="1"/>
    <col min="7" max="7" width="12.5703125" style="9" customWidth="1"/>
    <col min="8" max="8" width="11.7109375" style="9" customWidth="1"/>
    <col min="9" max="9" width="11.42578125" style="9" customWidth="1"/>
    <col min="10" max="10" width="11.28515625" style="9" customWidth="1"/>
    <col min="11" max="11" width="11" style="9" customWidth="1"/>
    <col min="12" max="12" width="13.140625" style="9" customWidth="1"/>
    <col min="13" max="13" width="12.5703125" style="9" customWidth="1"/>
    <col min="14" max="16384" width="9.28515625" style="9"/>
  </cols>
  <sheetData>
    <row r="1" spans="1:11">
      <c r="A1" s="9" t="s">
        <v>10</v>
      </c>
    </row>
    <row r="2" spans="1:11">
      <c r="A2" s="9" t="s">
        <v>58</v>
      </c>
    </row>
    <row r="3" spans="1:11">
      <c r="A3" s="9" t="s">
        <v>59</v>
      </c>
    </row>
    <row r="4" spans="1:11">
      <c r="A4" s="9" t="s">
        <v>60</v>
      </c>
    </row>
    <row r="5" spans="1:11">
      <c r="A5" s="9" t="s">
        <v>18</v>
      </c>
      <c r="D5" s="9">
        <v>2023</v>
      </c>
      <c r="E5" s="9">
        <v>2024</v>
      </c>
      <c r="G5" s="9" t="s">
        <v>61</v>
      </c>
    </row>
    <row r="6" spans="1:11">
      <c r="A6" s="9" t="s">
        <v>62</v>
      </c>
      <c r="B6" s="9" t="s">
        <v>31</v>
      </c>
      <c r="D6" s="88">
        <f>910</f>
        <v>910</v>
      </c>
      <c r="E6" s="88">
        <f>945</f>
        <v>945</v>
      </c>
      <c r="G6" s="91">
        <v>0.02</v>
      </c>
    </row>
    <row r="7" spans="1:11">
      <c r="B7" s="9" t="s">
        <v>63</v>
      </c>
      <c r="D7" s="88">
        <f>910</f>
        <v>910</v>
      </c>
      <c r="E7" s="88">
        <f>945</f>
        <v>945</v>
      </c>
      <c r="G7" s="91">
        <v>0.03</v>
      </c>
    </row>
    <row r="8" spans="1:11">
      <c r="B8" s="9" t="s">
        <v>64</v>
      </c>
      <c r="D8" s="88">
        <f>1160</f>
        <v>1160</v>
      </c>
      <c r="E8" s="88">
        <f>1195</f>
        <v>1195</v>
      </c>
      <c r="G8" s="91">
        <v>0.04</v>
      </c>
    </row>
    <row r="9" spans="1:11">
      <c r="B9" s="9" t="s">
        <v>31</v>
      </c>
      <c r="D9" s="88">
        <v>1160</v>
      </c>
      <c r="E9" s="88">
        <v>1195</v>
      </c>
      <c r="G9" s="91">
        <v>0.05</v>
      </c>
    </row>
    <row r="10" spans="1:11" hidden="1">
      <c r="B10" s="9" t="s">
        <v>63</v>
      </c>
      <c r="D10" s="10"/>
      <c r="E10" s="10"/>
      <c r="F10" s="40">
        <f>$E7*Student!$D$28</f>
        <v>945</v>
      </c>
      <c r="G10" s="40">
        <v>1195</v>
      </c>
      <c r="H10" s="40">
        <v>1195</v>
      </c>
      <c r="I10" s="40">
        <v>1195</v>
      </c>
      <c r="J10" s="40">
        <v>1195</v>
      </c>
      <c r="K10" s="9" t="s">
        <v>65</v>
      </c>
    </row>
    <row r="11" spans="1:11" hidden="1">
      <c r="B11" s="9" t="s">
        <v>64</v>
      </c>
      <c r="D11" s="10"/>
      <c r="E11" s="10"/>
      <c r="F11" s="40">
        <f>$E8*Student!$D$28</f>
        <v>1195</v>
      </c>
      <c r="G11" s="40">
        <f>$E8*Student!$D$28</f>
        <v>1195</v>
      </c>
      <c r="H11" s="40">
        <f>$E8*Student!$D$28</f>
        <v>1195</v>
      </c>
      <c r="I11" s="40">
        <f>$E8*Student!$D$28</f>
        <v>1195</v>
      </c>
      <c r="J11" s="40">
        <f>$E8*Student!$D$28</f>
        <v>1195</v>
      </c>
      <c r="K11" s="9" t="s">
        <v>65</v>
      </c>
    </row>
    <row r="12" spans="1:11">
      <c r="A12" s="11"/>
      <c r="B12" s="11"/>
      <c r="C12" s="11"/>
      <c r="G12" s="91">
        <v>0.06</v>
      </c>
    </row>
    <row r="13" spans="1:11" ht="42">
      <c r="A13" s="12" t="s">
        <v>66</v>
      </c>
      <c r="B13" s="12" t="s">
        <v>67</v>
      </c>
      <c r="C13" s="11" t="s">
        <v>68</v>
      </c>
      <c r="D13" s="9" t="s">
        <v>69</v>
      </c>
      <c r="E13" s="9" t="s">
        <v>70</v>
      </c>
    </row>
    <row r="14" spans="1:11">
      <c r="A14" s="46" t="s">
        <v>71</v>
      </c>
      <c r="B14" s="13">
        <f>C14/10</f>
        <v>3023.7840000000006</v>
      </c>
      <c r="C14" s="47">
        <f>E14*1.08</f>
        <v>30237.840000000004</v>
      </c>
      <c r="D14" s="9" t="s">
        <v>72</v>
      </c>
      <c r="E14" s="49">
        <v>27998</v>
      </c>
    </row>
    <row r="15" spans="1:11">
      <c r="A15" s="46" t="s">
        <v>73</v>
      </c>
      <c r="B15" s="13">
        <f t="shared" ref="B15:B45" si="0">C15/10</f>
        <v>2270.4104263050044</v>
      </c>
      <c r="C15" s="47">
        <f t="shared" ref="C15:C45" si="1">E15*1.08</f>
        <v>22704.104263050045</v>
      </c>
      <c r="D15" s="9" t="s">
        <v>74</v>
      </c>
      <c r="E15" s="49">
        <v>21022.318762083374</v>
      </c>
    </row>
    <row r="16" spans="1:11">
      <c r="A16" s="46" t="s">
        <v>75</v>
      </c>
      <c r="B16" s="13">
        <f t="shared" si="0"/>
        <v>1248.48</v>
      </c>
      <c r="C16" s="47">
        <f t="shared" si="1"/>
        <v>12484.800000000001</v>
      </c>
      <c r="D16" s="9" t="s">
        <v>72</v>
      </c>
      <c r="E16" s="49">
        <v>11560</v>
      </c>
    </row>
    <row r="17" spans="1:5">
      <c r="A17" s="46" t="s">
        <v>76</v>
      </c>
      <c r="B17" s="13">
        <f t="shared" si="0"/>
        <v>1708.703999999964</v>
      </c>
      <c r="C17" s="47">
        <f t="shared" si="1"/>
        <v>17087.039999999641</v>
      </c>
      <c r="D17" s="9" t="s">
        <v>72</v>
      </c>
      <c r="E17" s="49">
        <v>15821.333333332999</v>
      </c>
    </row>
    <row r="18" spans="1:5">
      <c r="A18" s="46" t="s">
        <v>5</v>
      </c>
      <c r="B18" s="13">
        <f t="shared" si="0"/>
        <v>2270.4104263050044</v>
      </c>
      <c r="C18" s="47">
        <f t="shared" si="1"/>
        <v>22704.104263050045</v>
      </c>
      <c r="D18" s="9" t="s">
        <v>74</v>
      </c>
      <c r="E18" s="49">
        <v>21022.318762083374</v>
      </c>
    </row>
    <row r="19" spans="1:5">
      <c r="A19" s="46" t="s">
        <v>77</v>
      </c>
      <c r="B19" s="13">
        <f t="shared" si="0"/>
        <v>2503.12275</v>
      </c>
      <c r="C19" s="47">
        <f t="shared" si="1"/>
        <v>25031.227500000001</v>
      </c>
      <c r="D19" s="9" t="s">
        <v>72</v>
      </c>
      <c r="E19" s="49">
        <v>23177.0625</v>
      </c>
    </row>
    <row r="20" spans="1:5">
      <c r="A20" s="46" t="s">
        <v>78</v>
      </c>
      <c r="B20" s="13">
        <f t="shared" si="0"/>
        <v>2356.1591538461043</v>
      </c>
      <c r="C20" s="47">
        <f t="shared" si="1"/>
        <v>23561.591538461042</v>
      </c>
      <c r="D20" s="9" t="s">
        <v>72</v>
      </c>
      <c r="E20" s="49">
        <v>21816.288461537999</v>
      </c>
    </row>
    <row r="21" spans="1:5">
      <c r="A21" s="46" t="s">
        <v>4</v>
      </c>
      <c r="B21" s="13">
        <f t="shared" si="0"/>
        <v>2151.9199999999801</v>
      </c>
      <c r="C21" s="47">
        <f t="shared" si="1"/>
        <v>21519.199999999801</v>
      </c>
      <c r="D21" s="9" t="s">
        <v>72</v>
      </c>
      <c r="E21" s="49">
        <v>19925.185185185001</v>
      </c>
    </row>
    <row r="22" spans="1:5">
      <c r="A22" s="46" t="s">
        <v>79</v>
      </c>
      <c r="B22" s="13">
        <f t="shared" si="0"/>
        <v>2314.3319999999999</v>
      </c>
      <c r="C22" s="47">
        <f t="shared" si="1"/>
        <v>23143.32</v>
      </c>
      <c r="D22" s="9" t="s">
        <v>72</v>
      </c>
      <c r="E22" s="49">
        <v>21429</v>
      </c>
    </row>
    <row r="23" spans="1:5">
      <c r="A23" s="46" t="s">
        <v>80</v>
      </c>
      <c r="B23" s="13">
        <f t="shared" si="0"/>
        <v>2175.4700689654801</v>
      </c>
      <c r="C23" s="47">
        <f t="shared" si="1"/>
        <v>21754.700689654801</v>
      </c>
      <c r="D23" s="9" t="s">
        <v>72</v>
      </c>
      <c r="E23" s="49">
        <v>20143.241379309999</v>
      </c>
    </row>
    <row r="24" spans="1:5">
      <c r="A24" s="46" t="s">
        <v>81</v>
      </c>
      <c r="B24" s="13">
        <f t="shared" si="0"/>
        <v>1898.8339591836361</v>
      </c>
      <c r="C24" s="47">
        <f t="shared" si="1"/>
        <v>18988.33959183636</v>
      </c>
      <c r="D24" s="9" t="s">
        <v>72</v>
      </c>
      <c r="E24" s="49">
        <v>17581.795918366999</v>
      </c>
    </row>
    <row r="25" spans="1:5">
      <c r="A25" s="46" t="s">
        <v>82</v>
      </c>
      <c r="B25" s="13">
        <f t="shared" si="0"/>
        <v>1982.3160000000239</v>
      </c>
      <c r="C25" s="47">
        <f t="shared" si="1"/>
        <v>19823.16000000024</v>
      </c>
      <c r="D25" s="9" t="s">
        <v>72</v>
      </c>
      <c r="E25" s="49">
        <v>18354.777777777999</v>
      </c>
    </row>
    <row r="26" spans="1:5">
      <c r="A26" s="46" t="s">
        <v>83</v>
      </c>
      <c r="B26" s="13">
        <f t="shared" si="0"/>
        <v>2338.8497419354562</v>
      </c>
      <c r="C26" s="47">
        <f t="shared" si="1"/>
        <v>23388.49741935456</v>
      </c>
      <c r="D26" s="9" t="s">
        <v>72</v>
      </c>
      <c r="E26" s="49">
        <v>21656.016129031999</v>
      </c>
    </row>
    <row r="27" spans="1:5">
      <c r="A27" s="46" t="s">
        <v>84</v>
      </c>
      <c r="B27" s="13">
        <f t="shared" si="0"/>
        <v>2113.5600000000004</v>
      </c>
      <c r="C27" s="47">
        <f t="shared" si="1"/>
        <v>21135.600000000002</v>
      </c>
      <c r="D27" s="9" t="s">
        <v>72</v>
      </c>
      <c r="E27" s="49">
        <v>19570</v>
      </c>
    </row>
    <row r="28" spans="1:5">
      <c r="A28" s="46" t="s">
        <v>85</v>
      </c>
      <c r="B28" s="13">
        <f t="shared" si="0"/>
        <v>2450.0880000000002</v>
      </c>
      <c r="C28" s="47">
        <f t="shared" si="1"/>
        <v>24500.880000000001</v>
      </c>
      <c r="D28" s="9" t="s">
        <v>72</v>
      </c>
      <c r="E28" s="49">
        <v>22686</v>
      </c>
    </row>
    <row r="29" spans="1:5">
      <c r="A29" s="46" t="s">
        <v>86</v>
      </c>
      <c r="B29" s="13">
        <f t="shared" si="0"/>
        <v>2301.980727272688</v>
      </c>
      <c r="C29" s="47">
        <f t="shared" si="1"/>
        <v>23019.807272726881</v>
      </c>
      <c r="D29" s="9" t="s">
        <v>72</v>
      </c>
      <c r="E29" s="49">
        <v>21314.636363636</v>
      </c>
    </row>
    <row r="30" spans="1:5">
      <c r="A30" s="46" t="s">
        <v>87</v>
      </c>
      <c r="B30" s="13">
        <f t="shared" si="0"/>
        <v>1899.7311724138083</v>
      </c>
      <c r="C30" s="47">
        <f t="shared" si="1"/>
        <v>18997.311724138082</v>
      </c>
      <c r="D30" s="9" t="s">
        <v>72</v>
      </c>
      <c r="E30" s="49">
        <v>17590.103448276001</v>
      </c>
    </row>
    <row r="31" spans="1:5">
      <c r="A31" s="46" t="s">
        <v>88</v>
      </c>
      <c r="B31" s="13">
        <f t="shared" si="0"/>
        <v>1877.3712000000364</v>
      </c>
      <c r="C31" s="47">
        <f t="shared" si="1"/>
        <v>18773.712000000363</v>
      </c>
      <c r="D31" s="9" t="s">
        <v>72</v>
      </c>
      <c r="E31" s="49">
        <v>17383.066666667</v>
      </c>
    </row>
    <row r="32" spans="1:5">
      <c r="A32" s="46" t="s">
        <v>89</v>
      </c>
      <c r="B32" s="13">
        <f t="shared" si="0"/>
        <v>2288.156210526276</v>
      </c>
      <c r="C32" s="47">
        <f t="shared" si="1"/>
        <v>22881.562105262761</v>
      </c>
      <c r="D32" s="9" t="s">
        <v>72</v>
      </c>
      <c r="E32" s="49">
        <v>21186.631578946999</v>
      </c>
    </row>
    <row r="33" spans="1:10">
      <c r="A33" s="46" t="s">
        <v>90</v>
      </c>
      <c r="B33" s="13">
        <f t="shared" si="0"/>
        <v>2247.3963870968159</v>
      </c>
      <c r="C33" s="47">
        <f t="shared" si="1"/>
        <v>22473.96387096816</v>
      </c>
      <c r="D33" s="9" t="s">
        <v>72</v>
      </c>
      <c r="E33" s="49">
        <v>20809.225806451999</v>
      </c>
    </row>
    <row r="34" spans="1:10">
      <c r="A34" s="46" t="s">
        <v>91</v>
      </c>
      <c r="B34" s="13">
        <f t="shared" si="0"/>
        <v>2276.6867462686682</v>
      </c>
      <c r="C34" s="47">
        <f t="shared" si="1"/>
        <v>22766.867462686681</v>
      </c>
      <c r="D34" s="9" t="s">
        <v>72</v>
      </c>
      <c r="E34" s="49">
        <v>21080.432835821</v>
      </c>
    </row>
    <row r="35" spans="1:10">
      <c r="A35" s="46" t="s">
        <v>92</v>
      </c>
      <c r="B35" s="13">
        <f t="shared" si="0"/>
        <v>2251.1922711864481</v>
      </c>
      <c r="C35" s="47">
        <f t="shared" si="1"/>
        <v>22511.922711864481</v>
      </c>
      <c r="D35" s="9" t="s">
        <v>72</v>
      </c>
      <c r="E35" s="49">
        <v>20844.372881356001</v>
      </c>
    </row>
    <row r="36" spans="1:10">
      <c r="A36" s="46" t="s">
        <v>93</v>
      </c>
      <c r="B36" s="13">
        <f t="shared" si="0"/>
        <v>2270.4104263050044</v>
      </c>
      <c r="C36" s="47">
        <f t="shared" si="1"/>
        <v>22704.104263050045</v>
      </c>
      <c r="D36" s="9" t="s">
        <v>74</v>
      </c>
      <c r="E36" s="49">
        <v>21022.318762083374</v>
      </c>
    </row>
    <row r="37" spans="1:10">
      <c r="A37" s="46" t="s">
        <v>94</v>
      </c>
      <c r="B37" s="13">
        <f t="shared" si="0"/>
        <v>2270.4104263050044</v>
      </c>
      <c r="C37" s="47">
        <f t="shared" si="1"/>
        <v>22704.104263050045</v>
      </c>
      <c r="D37" s="9" t="s">
        <v>74</v>
      </c>
      <c r="E37" s="49">
        <v>21022.318762083374</v>
      </c>
    </row>
    <row r="38" spans="1:10">
      <c r="A38" s="46" t="s">
        <v>95</v>
      </c>
      <c r="B38" s="13">
        <f>C38/10</f>
        <v>2297.6663606557204</v>
      </c>
      <c r="C38" s="47">
        <f t="shared" si="1"/>
        <v>22976.663606557202</v>
      </c>
      <c r="D38" s="9" t="s">
        <v>72</v>
      </c>
      <c r="E38" s="49">
        <v>21274.688524590001</v>
      </c>
    </row>
    <row r="39" spans="1:10">
      <c r="A39" s="46" t="s">
        <v>96</v>
      </c>
      <c r="B39" s="13">
        <f t="shared" si="0"/>
        <v>2042.7351428571121</v>
      </c>
      <c r="C39" s="47">
        <f t="shared" si="1"/>
        <v>20427.351428571121</v>
      </c>
      <c r="D39" s="9" t="s">
        <v>72</v>
      </c>
      <c r="E39" s="49">
        <v>18914.214285713999</v>
      </c>
    </row>
    <row r="40" spans="1:10">
      <c r="A40" s="46" t="s">
        <v>97</v>
      </c>
      <c r="B40" s="13">
        <f t="shared" si="0"/>
        <v>2278.152</v>
      </c>
      <c r="C40" s="47">
        <f t="shared" si="1"/>
        <v>22781.52</v>
      </c>
      <c r="D40" s="9" t="s">
        <v>72</v>
      </c>
      <c r="E40" s="49">
        <v>21094</v>
      </c>
    </row>
    <row r="41" spans="1:10">
      <c r="A41" s="46" t="s">
        <v>98</v>
      </c>
      <c r="B41" s="13">
        <f t="shared" si="0"/>
        <v>2118.2040000000002</v>
      </c>
      <c r="C41" s="47">
        <f t="shared" si="1"/>
        <v>21182.04</v>
      </c>
      <c r="D41" s="9" t="s">
        <v>72</v>
      </c>
      <c r="E41" s="49">
        <v>19613</v>
      </c>
    </row>
    <row r="42" spans="1:10">
      <c r="A42" s="46" t="s">
        <v>99</v>
      </c>
      <c r="B42" s="13">
        <f t="shared" si="0"/>
        <v>2270.4104263050044</v>
      </c>
      <c r="C42" s="47">
        <f t="shared" si="1"/>
        <v>22704.104263050045</v>
      </c>
      <c r="D42" s="9" t="s">
        <v>74</v>
      </c>
      <c r="E42" s="49">
        <v>21022.318762083374</v>
      </c>
    </row>
    <row r="43" spans="1:10">
      <c r="A43" s="46" t="s">
        <v>100</v>
      </c>
      <c r="B43" s="13">
        <f t="shared" si="0"/>
        <v>2270.4104263050044</v>
      </c>
      <c r="C43" s="47">
        <f t="shared" si="1"/>
        <v>22704.104263050045</v>
      </c>
      <c r="D43" s="9" t="s">
        <v>74</v>
      </c>
      <c r="E43" s="49">
        <v>21022.318762083374</v>
      </c>
    </row>
    <row r="44" spans="1:10">
      <c r="A44" s="46" t="s">
        <v>101</v>
      </c>
      <c r="B44" s="13">
        <f t="shared" si="0"/>
        <v>2270.4104263050044</v>
      </c>
      <c r="C44" s="47">
        <f t="shared" si="1"/>
        <v>22704.104263050045</v>
      </c>
      <c r="D44" s="9" t="s">
        <v>74</v>
      </c>
      <c r="E44" s="49">
        <v>21022.318762083374</v>
      </c>
    </row>
    <row r="45" spans="1:10">
      <c r="A45" s="46" t="s">
        <v>102</v>
      </c>
      <c r="B45" s="13">
        <f t="shared" si="0"/>
        <v>2270.4104263050044</v>
      </c>
      <c r="C45" s="47">
        <f t="shared" si="1"/>
        <v>22704.104263050045</v>
      </c>
      <c r="D45" s="9" t="s">
        <v>74</v>
      </c>
      <c r="E45" s="49">
        <v>21022.318762083374</v>
      </c>
    </row>
    <row r="46" spans="1:10">
      <c r="A46" s="12"/>
      <c r="B46" s="13"/>
      <c r="C46" s="14"/>
      <c r="E46" s="49"/>
    </row>
    <row r="47" spans="1:10" ht="42.75" customHeight="1">
      <c r="A47" s="15" t="s">
        <v>27</v>
      </c>
      <c r="B47" s="16" t="s">
        <v>43</v>
      </c>
      <c r="C47" s="16" t="s">
        <v>103</v>
      </c>
      <c r="E47" s="49"/>
      <c r="I47" s="18"/>
      <c r="J47" s="18"/>
    </row>
    <row r="48" spans="1:10" ht="13.5" customHeight="1">
      <c r="A48" s="19">
        <v>0</v>
      </c>
      <c r="B48" s="16">
        <v>0</v>
      </c>
      <c r="C48" s="16">
        <v>0</v>
      </c>
      <c r="E48" s="49"/>
      <c r="I48" s="18"/>
      <c r="J48" s="18"/>
    </row>
    <row r="49" spans="1:13">
      <c r="A49" s="20">
        <v>1</v>
      </c>
      <c r="B49" s="21">
        <v>314.95999999999998</v>
      </c>
      <c r="C49" s="22">
        <f>L64+M64</f>
        <v>169.98</v>
      </c>
      <c r="E49" s="49"/>
      <c r="I49" s="18"/>
      <c r="J49" s="26"/>
    </row>
    <row r="50" spans="1:13">
      <c r="A50" s="20">
        <v>2</v>
      </c>
      <c r="B50" s="21">
        <f>B$49*A50</f>
        <v>629.91999999999996</v>
      </c>
      <c r="C50" s="22">
        <f t="shared" ref="C50:C60" si="2">L65+M65</f>
        <v>212.49</v>
      </c>
      <c r="E50" s="49"/>
      <c r="I50" s="18"/>
      <c r="J50" s="26"/>
    </row>
    <row r="51" spans="1:13">
      <c r="A51" s="20">
        <v>3</v>
      </c>
      <c r="B51" s="21">
        <f t="shared" ref="B51:B59" si="3">B$49*A51</f>
        <v>944.87999999999988</v>
      </c>
      <c r="C51" s="22">
        <f t="shared" si="2"/>
        <v>255</v>
      </c>
      <c r="E51" s="49"/>
      <c r="H51" s="16"/>
      <c r="I51" s="18"/>
      <c r="J51" s="26"/>
    </row>
    <row r="52" spans="1:13">
      <c r="A52" s="20">
        <v>4</v>
      </c>
      <c r="B52" s="21">
        <f t="shared" si="3"/>
        <v>1259.8399999999999</v>
      </c>
      <c r="C52" s="22">
        <f t="shared" si="2"/>
        <v>297.51</v>
      </c>
      <c r="E52" s="49"/>
      <c r="H52" s="16"/>
      <c r="I52" s="18"/>
      <c r="J52" s="18"/>
    </row>
    <row r="53" spans="1:13">
      <c r="A53" s="20">
        <v>5</v>
      </c>
      <c r="B53" s="21">
        <f t="shared" si="3"/>
        <v>1574.8</v>
      </c>
      <c r="C53" s="22">
        <f t="shared" si="2"/>
        <v>340.02</v>
      </c>
      <c r="E53" s="49"/>
      <c r="H53" s="25"/>
      <c r="I53" s="18"/>
      <c r="J53" s="18"/>
    </row>
    <row r="54" spans="1:13">
      <c r="A54" s="20">
        <v>6</v>
      </c>
      <c r="B54" s="21">
        <f t="shared" si="3"/>
        <v>1889.7599999999998</v>
      </c>
      <c r="C54" s="22">
        <f t="shared" si="2"/>
        <v>382.53</v>
      </c>
      <c r="H54" s="25"/>
      <c r="I54" s="18"/>
      <c r="J54" s="18"/>
    </row>
    <row r="55" spans="1:13">
      <c r="A55" s="20">
        <v>7</v>
      </c>
      <c r="B55" s="21">
        <f t="shared" si="3"/>
        <v>2204.7199999999998</v>
      </c>
      <c r="C55" s="22">
        <f t="shared" si="2"/>
        <v>1039</v>
      </c>
      <c r="H55" s="25"/>
      <c r="I55" s="18"/>
      <c r="J55" s="18"/>
    </row>
    <row r="56" spans="1:13">
      <c r="A56" s="20">
        <v>8</v>
      </c>
      <c r="B56" s="21">
        <f t="shared" si="3"/>
        <v>2519.6799999999998</v>
      </c>
      <c r="C56" s="22">
        <f t="shared" si="2"/>
        <v>1081.51</v>
      </c>
      <c r="H56" s="25"/>
      <c r="I56" s="18"/>
      <c r="J56" s="18"/>
    </row>
    <row r="57" spans="1:13">
      <c r="A57" s="20">
        <v>9</v>
      </c>
      <c r="B57" s="21">
        <f t="shared" si="3"/>
        <v>2834.64</v>
      </c>
      <c r="C57" s="22">
        <f t="shared" si="2"/>
        <v>1124.02</v>
      </c>
      <c r="H57" s="25"/>
      <c r="I57" s="18"/>
      <c r="J57" s="18"/>
    </row>
    <row r="58" spans="1:13">
      <c r="A58" s="20">
        <v>10</v>
      </c>
      <c r="B58" s="21">
        <f t="shared" si="3"/>
        <v>3149.6</v>
      </c>
      <c r="C58" s="22">
        <f t="shared" si="2"/>
        <v>1166.53</v>
      </c>
      <c r="H58" s="25"/>
      <c r="I58" s="18"/>
      <c r="J58" s="18"/>
    </row>
    <row r="59" spans="1:13">
      <c r="A59" s="20">
        <v>11</v>
      </c>
      <c r="B59" s="21">
        <f t="shared" si="3"/>
        <v>3464.56</v>
      </c>
      <c r="C59" s="22">
        <f t="shared" si="2"/>
        <v>1209.04</v>
      </c>
      <c r="H59" s="25"/>
      <c r="I59" s="18"/>
      <c r="J59" s="18"/>
    </row>
    <row r="60" spans="1:13">
      <c r="A60" s="20" t="s">
        <v>104</v>
      </c>
      <c r="B60" s="21">
        <f>B59+B49</f>
        <v>3779.52</v>
      </c>
      <c r="C60" s="22">
        <f t="shared" si="2"/>
        <v>1251</v>
      </c>
      <c r="F60" s="17"/>
      <c r="G60" s="16"/>
      <c r="H60" s="25"/>
      <c r="I60" s="18"/>
      <c r="J60" s="18"/>
    </row>
    <row r="61" spans="1:13">
      <c r="A61" s="28"/>
      <c r="B61" s="27"/>
      <c r="C61" s="24"/>
      <c r="F61" s="17"/>
      <c r="G61" s="16"/>
      <c r="H61" s="25"/>
      <c r="I61" s="18"/>
      <c r="J61" s="18"/>
      <c r="K61" s="18"/>
      <c r="L61" s="18"/>
    </row>
    <row r="62" spans="1:13" ht="15" thickBot="1">
      <c r="A62" s="29" t="s">
        <v>105</v>
      </c>
      <c r="B62" s="18"/>
      <c r="C62" s="18"/>
      <c r="F62" s="24"/>
      <c r="G62" s="22"/>
      <c r="H62" s="25"/>
      <c r="I62" s="18"/>
      <c r="J62" s="18"/>
      <c r="K62" s="18"/>
      <c r="L62" s="18"/>
    </row>
    <row r="63" spans="1:13" s="30" customFormat="1" ht="56.45" thickBot="1">
      <c r="A63" s="95" t="s">
        <v>27</v>
      </c>
      <c r="B63" s="96" t="s">
        <v>106</v>
      </c>
      <c r="C63" s="96" t="s">
        <v>107</v>
      </c>
      <c r="D63" s="96" t="s">
        <v>108</v>
      </c>
      <c r="E63" s="96" t="s">
        <v>109</v>
      </c>
      <c r="F63" s="96" t="s">
        <v>110</v>
      </c>
      <c r="G63" s="96" t="s">
        <v>111</v>
      </c>
      <c r="H63" s="96" t="s">
        <v>112</v>
      </c>
      <c r="I63" s="96" t="s">
        <v>113</v>
      </c>
      <c r="J63" s="96" t="s">
        <v>114</v>
      </c>
      <c r="K63" s="97" t="s">
        <v>115</v>
      </c>
      <c r="L63" s="98" t="s">
        <v>116</v>
      </c>
      <c r="M63" s="16" t="s">
        <v>117</v>
      </c>
    </row>
    <row r="64" spans="1:13" ht="15" thickBot="1">
      <c r="A64" s="99">
        <v>1</v>
      </c>
      <c r="B64" s="93">
        <v>30</v>
      </c>
      <c r="C64" s="93">
        <v>23.96</v>
      </c>
      <c r="D64" s="93">
        <v>8.27</v>
      </c>
      <c r="E64" s="93">
        <v>3.95</v>
      </c>
      <c r="F64" s="93">
        <v>0</v>
      </c>
      <c r="G64" s="93">
        <v>0</v>
      </c>
      <c r="H64" s="93">
        <v>5.5</v>
      </c>
      <c r="I64" s="93">
        <v>4.0999999999999996</v>
      </c>
      <c r="J64" s="93">
        <v>79.95</v>
      </c>
      <c r="K64" s="93">
        <v>0</v>
      </c>
      <c r="L64" s="100">
        <v>155.72999999999999</v>
      </c>
      <c r="M64" s="21">
        <v>14.25</v>
      </c>
    </row>
    <row r="65" spans="1:14" ht="15" thickBot="1">
      <c r="A65" s="99">
        <v>2</v>
      </c>
      <c r="B65" s="94">
        <v>30</v>
      </c>
      <c r="C65" s="94">
        <v>30.4</v>
      </c>
      <c r="D65" s="94">
        <v>16.54</v>
      </c>
      <c r="E65" s="94">
        <v>7.9</v>
      </c>
      <c r="F65" s="94">
        <v>0</v>
      </c>
      <c r="G65" s="94">
        <v>0</v>
      </c>
      <c r="H65" s="94">
        <v>11</v>
      </c>
      <c r="I65" s="94">
        <v>8.1999999999999993</v>
      </c>
      <c r="J65" s="94">
        <v>79.95</v>
      </c>
      <c r="K65" s="94">
        <v>0</v>
      </c>
      <c r="L65" s="101">
        <v>183.99</v>
      </c>
      <c r="M65" s="21">
        <f>M64+M$64</f>
        <v>28.5</v>
      </c>
    </row>
    <row r="66" spans="1:14" ht="15" thickBot="1">
      <c r="A66" s="99">
        <v>3</v>
      </c>
      <c r="B66" s="93">
        <v>30</v>
      </c>
      <c r="C66" s="93">
        <v>36.840000000000003</v>
      </c>
      <c r="D66" s="93">
        <v>24.81</v>
      </c>
      <c r="E66" s="93">
        <v>11.85</v>
      </c>
      <c r="F66" s="93">
        <v>0</v>
      </c>
      <c r="G66" s="93">
        <v>0</v>
      </c>
      <c r="H66" s="93">
        <v>16.5</v>
      </c>
      <c r="I66" s="93">
        <v>12.3</v>
      </c>
      <c r="J66" s="93">
        <v>79.95</v>
      </c>
      <c r="K66" s="93">
        <v>0</v>
      </c>
      <c r="L66" s="100">
        <v>212.25</v>
      </c>
      <c r="M66" s="21">
        <f t="shared" ref="M66:M75" si="4">M65+M$64</f>
        <v>42.75</v>
      </c>
    </row>
    <row r="67" spans="1:14" ht="15" thickBot="1">
      <c r="A67" s="99">
        <v>4</v>
      </c>
      <c r="B67" s="94">
        <v>30</v>
      </c>
      <c r="C67" s="94">
        <v>43.28</v>
      </c>
      <c r="D67" s="94">
        <v>33.08</v>
      </c>
      <c r="E67" s="94">
        <v>15.8</v>
      </c>
      <c r="F67" s="94">
        <v>0</v>
      </c>
      <c r="G67" s="94">
        <v>0</v>
      </c>
      <c r="H67" s="94">
        <v>22</v>
      </c>
      <c r="I67" s="94">
        <v>16.399999999999999</v>
      </c>
      <c r="J67" s="94">
        <v>79.95</v>
      </c>
      <c r="K67" s="94">
        <v>0</v>
      </c>
      <c r="L67" s="101">
        <v>240.51</v>
      </c>
      <c r="M67" s="21">
        <f t="shared" si="4"/>
        <v>57</v>
      </c>
    </row>
    <row r="68" spans="1:14" ht="15" thickBot="1">
      <c r="A68" s="99">
        <v>5</v>
      </c>
      <c r="B68" s="93">
        <v>30</v>
      </c>
      <c r="C68" s="93">
        <v>49.72</v>
      </c>
      <c r="D68" s="93">
        <v>41.35</v>
      </c>
      <c r="E68" s="93">
        <v>19.75</v>
      </c>
      <c r="F68" s="93">
        <v>0</v>
      </c>
      <c r="G68" s="93">
        <v>0</v>
      </c>
      <c r="H68" s="93">
        <v>27.5</v>
      </c>
      <c r="I68" s="93">
        <v>20.5</v>
      </c>
      <c r="J68" s="93">
        <v>79.95</v>
      </c>
      <c r="K68" s="93">
        <v>0</v>
      </c>
      <c r="L68" s="100">
        <v>268.77</v>
      </c>
      <c r="M68" s="21">
        <f t="shared" si="4"/>
        <v>71.25</v>
      </c>
    </row>
    <row r="69" spans="1:14" ht="15" thickBot="1">
      <c r="A69" s="99">
        <v>6</v>
      </c>
      <c r="B69" s="94">
        <v>30</v>
      </c>
      <c r="C69" s="94">
        <v>56.16</v>
      </c>
      <c r="D69" s="94">
        <v>49.62</v>
      </c>
      <c r="E69" s="94">
        <v>23.7</v>
      </c>
      <c r="F69" s="94">
        <v>0</v>
      </c>
      <c r="G69" s="94">
        <v>0</v>
      </c>
      <c r="H69" s="94">
        <v>33</v>
      </c>
      <c r="I69" s="94">
        <v>24.6</v>
      </c>
      <c r="J69" s="94">
        <v>79.95</v>
      </c>
      <c r="K69" s="94">
        <v>0</v>
      </c>
      <c r="L69" s="101">
        <v>297.02999999999997</v>
      </c>
      <c r="M69" s="21">
        <f t="shared" si="4"/>
        <v>85.5</v>
      </c>
    </row>
    <row r="70" spans="1:14" ht="15" thickBot="1">
      <c r="A70" s="99">
        <v>7</v>
      </c>
      <c r="B70" s="93">
        <v>30</v>
      </c>
      <c r="C70" s="93">
        <v>62.6</v>
      </c>
      <c r="D70" s="93">
        <v>117.75</v>
      </c>
      <c r="E70" s="93">
        <v>27.65</v>
      </c>
      <c r="F70" s="93">
        <v>146.1</v>
      </c>
      <c r="G70" s="93">
        <v>320</v>
      </c>
      <c r="H70" s="93">
        <v>38.5</v>
      </c>
      <c r="I70" s="93">
        <v>28.7</v>
      </c>
      <c r="J70" s="93">
        <v>79.95</v>
      </c>
      <c r="K70" s="93">
        <v>88</v>
      </c>
      <c r="L70" s="100">
        <v>939.25</v>
      </c>
      <c r="M70" s="21">
        <f t="shared" si="4"/>
        <v>99.75</v>
      </c>
      <c r="N70" s="31"/>
    </row>
    <row r="71" spans="1:14" ht="15" thickBot="1">
      <c r="A71" s="99">
        <v>8</v>
      </c>
      <c r="B71" s="94">
        <v>30</v>
      </c>
      <c r="C71" s="94">
        <v>69.040000000000006</v>
      </c>
      <c r="D71" s="94">
        <v>126.02</v>
      </c>
      <c r="E71" s="94">
        <v>31.6</v>
      </c>
      <c r="F71" s="94">
        <v>146.1</v>
      </c>
      <c r="G71" s="94">
        <v>320</v>
      </c>
      <c r="H71" s="94">
        <v>44</v>
      </c>
      <c r="I71" s="94">
        <v>32.799999999999997</v>
      </c>
      <c r="J71" s="94">
        <v>79.95</v>
      </c>
      <c r="K71" s="94">
        <v>88</v>
      </c>
      <c r="L71" s="101">
        <v>967.51</v>
      </c>
      <c r="M71" s="21">
        <f t="shared" si="4"/>
        <v>114</v>
      </c>
    </row>
    <row r="72" spans="1:14" ht="15" thickBot="1">
      <c r="A72" s="99">
        <v>9</v>
      </c>
      <c r="B72" s="93">
        <v>30</v>
      </c>
      <c r="C72" s="93">
        <v>75.48</v>
      </c>
      <c r="D72" s="93">
        <v>134.29</v>
      </c>
      <c r="E72" s="93">
        <v>35.549999999999997</v>
      </c>
      <c r="F72" s="93">
        <v>146.1</v>
      </c>
      <c r="G72" s="93">
        <v>320</v>
      </c>
      <c r="H72" s="93">
        <v>49.5</v>
      </c>
      <c r="I72" s="93">
        <v>36.9</v>
      </c>
      <c r="J72" s="93">
        <v>79.95</v>
      </c>
      <c r="K72" s="93">
        <v>88</v>
      </c>
      <c r="L72" s="100">
        <v>995.77</v>
      </c>
      <c r="M72" s="21">
        <f t="shared" si="4"/>
        <v>128.25</v>
      </c>
    </row>
    <row r="73" spans="1:14" ht="15" thickBot="1">
      <c r="A73" s="99">
        <v>10</v>
      </c>
      <c r="B73" s="94">
        <v>30</v>
      </c>
      <c r="C73" s="94">
        <v>81.92</v>
      </c>
      <c r="D73" s="94">
        <v>142.56</v>
      </c>
      <c r="E73" s="94">
        <v>39.5</v>
      </c>
      <c r="F73" s="94">
        <v>146.1</v>
      </c>
      <c r="G73" s="94">
        <v>320</v>
      </c>
      <c r="H73" s="94">
        <v>55</v>
      </c>
      <c r="I73" s="94">
        <v>41</v>
      </c>
      <c r="J73" s="94">
        <v>79.95</v>
      </c>
      <c r="K73" s="94">
        <v>88</v>
      </c>
      <c r="L73" s="102">
        <v>1024.03</v>
      </c>
      <c r="M73" s="21">
        <f t="shared" si="4"/>
        <v>142.5</v>
      </c>
    </row>
    <row r="74" spans="1:14" ht="15" thickBot="1">
      <c r="A74" s="99">
        <v>11</v>
      </c>
      <c r="B74" s="93">
        <v>30</v>
      </c>
      <c r="C74" s="93">
        <v>88.36</v>
      </c>
      <c r="D74" s="93">
        <v>150.83000000000001</v>
      </c>
      <c r="E74" s="93">
        <v>43.45</v>
      </c>
      <c r="F74" s="93">
        <v>146.1</v>
      </c>
      <c r="G74" s="93">
        <v>320</v>
      </c>
      <c r="H74" s="93">
        <v>60.5</v>
      </c>
      <c r="I74" s="93">
        <v>45.1</v>
      </c>
      <c r="J74" s="93">
        <v>79.95</v>
      </c>
      <c r="K74" s="93">
        <v>88</v>
      </c>
      <c r="L74" s="103">
        <v>1052.29</v>
      </c>
      <c r="M74" s="21">
        <f t="shared" si="4"/>
        <v>156.75</v>
      </c>
    </row>
    <row r="75" spans="1:14" ht="15" thickBot="1">
      <c r="A75" s="104" t="s">
        <v>118</v>
      </c>
      <c r="B75" s="105">
        <v>30</v>
      </c>
      <c r="C75" s="105">
        <v>94.8</v>
      </c>
      <c r="D75" s="105">
        <v>159.1</v>
      </c>
      <c r="E75" s="105">
        <v>47.4</v>
      </c>
      <c r="F75" s="105">
        <v>146.1</v>
      </c>
      <c r="G75" s="105">
        <v>320</v>
      </c>
      <c r="H75" s="105">
        <v>66</v>
      </c>
      <c r="I75" s="105">
        <v>49.2</v>
      </c>
      <c r="J75" s="105">
        <v>79.95</v>
      </c>
      <c r="K75" s="105">
        <v>88</v>
      </c>
      <c r="L75" s="106">
        <v>1080</v>
      </c>
      <c r="M75" s="21">
        <f t="shared" si="4"/>
        <v>171</v>
      </c>
    </row>
    <row r="76" spans="1:14">
      <c r="D76" s="23"/>
      <c r="E76" s="27"/>
    </row>
    <row r="77" spans="1:14">
      <c r="B77" s="32"/>
      <c r="C77" s="32"/>
      <c r="F77" s="33"/>
      <c r="G77" s="34"/>
      <c r="H77" s="34"/>
      <c r="I77" s="34"/>
      <c r="J77" s="34"/>
      <c r="K77" s="34"/>
    </row>
    <row r="78" spans="1:14">
      <c r="A78" s="35" t="s">
        <v>43</v>
      </c>
      <c r="B78" s="35" t="s">
        <v>119</v>
      </c>
      <c r="C78" s="35" t="s">
        <v>120</v>
      </c>
      <c r="D78" s="35" t="s">
        <v>21</v>
      </c>
      <c r="E78" s="35" t="s">
        <v>23</v>
      </c>
      <c r="F78" s="35" t="s">
        <v>24</v>
      </c>
    </row>
    <row r="79" spans="1:14">
      <c r="A79" s="36" t="s">
        <v>121</v>
      </c>
      <c r="B79" s="37">
        <f>0</f>
        <v>0</v>
      </c>
      <c r="C79" s="37">
        <f>IF(Student!C$22="Y",Lists!B79*1.02,Lists!B79)</f>
        <v>0</v>
      </c>
      <c r="D79" s="37">
        <f>IF(Student!C$22="Y",Lists!C79*1.02,Lists!C79)</f>
        <v>0</v>
      </c>
      <c r="E79" s="37">
        <f>IF(Student!C$22="Y",Lists!D79*1.02,Lists!D79)</f>
        <v>0</v>
      </c>
      <c r="F79" s="37">
        <f>IF(Student!C$22="Y",Lists!E79*1.02,Lists!E79)</f>
        <v>0</v>
      </c>
    </row>
    <row r="80" spans="1:14">
      <c r="A80" s="36" t="s">
        <v>59</v>
      </c>
      <c r="B80" s="37">
        <f>B54</f>
        <v>1889.7599999999998</v>
      </c>
      <c r="C80" s="37">
        <f>IF(Student!C$22="Y",Lists!B80*1.02,Lists!B80)</f>
        <v>1927.5551999999998</v>
      </c>
      <c r="D80" s="37">
        <f>IF(Student!C$22="Y",Lists!C80*1.02,Lists!C80)</f>
        <v>1966.1063039999999</v>
      </c>
      <c r="E80" s="37">
        <f>IF(Student!C$22="Y",Lists!D80*1.02,Lists!D80)</f>
        <v>2005.42843008</v>
      </c>
      <c r="F80" s="37">
        <f>IF(Student!C$22="Y",Lists!E80*1.02,Lists!E80)</f>
        <v>2045.5369986815999</v>
      </c>
      <c r="H80" s="9" t="s">
        <v>122</v>
      </c>
    </row>
    <row r="81" spans="1:6">
      <c r="A81" s="36" t="s">
        <v>60</v>
      </c>
      <c r="B81" s="37">
        <f>B54</f>
        <v>1889.7599999999998</v>
      </c>
      <c r="C81" s="37">
        <f>IF(Student!C$22="Y",Lists!B81*1.02,Lists!B81)</f>
        <v>1927.5551999999998</v>
      </c>
      <c r="D81" s="37">
        <f>IF(Student!C$22="Y",Lists!C81*1.02,Lists!C81)</f>
        <v>1966.1063039999999</v>
      </c>
      <c r="E81" s="37">
        <f>IF(Student!C$22="Y",Lists!D81*1.02,Lists!D81)</f>
        <v>2005.42843008</v>
      </c>
      <c r="F81" s="37">
        <f>IF(Student!C$22="Y",Lists!E81*1.02,Lists!E81)</f>
        <v>2045.5369986815999</v>
      </c>
    </row>
    <row r="82" spans="1:6">
      <c r="A82" s="36" t="s">
        <v>58</v>
      </c>
      <c r="B82" s="37">
        <f>B54*2</f>
        <v>3779.5199999999995</v>
      </c>
      <c r="C82" s="37">
        <f>IF(Student!C$22="Y",Lists!B82*1.02,Lists!B82)</f>
        <v>3855.1103999999996</v>
      </c>
      <c r="D82" s="37">
        <f>IF(Student!C$22="Y",Lists!C82*1.02,Lists!C82)</f>
        <v>3932.2126079999998</v>
      </c>
      <c r="E82" s="37">
        <f>IF(Student!C$22="Y",Lists!D82*1.02,Lists!D82)</f>
        <v>4010.85686016</v>
      </c>
      <c r="F82" s="37">
        <f>IF(Student!C$22="Y",Lists!E82*1.02,Lists!E82)</f>
        <v>4091.0739973631999</v>
      </c>
    </row>
    <row r="83" spans="1:6">
      <c r="A83" s="36" t="s">
        <v>10</v>
      </c>
      <c r="B83" s="37">
        <f>B54*2</f>
        <v>3779.5199999999995</v>
      </c>
      <c r="C83" s="37">
        <f>IF(Student!C$22="Y",Lists!B83*1.02,Lists!B83)</f>
        <v>3855.1103999999996</v>
      </c>
      <c r="D83" s="37">
        <f>IF(Student!C$22="Y",Lists!C83*1.02,Lists!C83)</f>
        <v>3932.2126079999998</v>
      </c>
      <c r="E83" s="37">
        <f>IF(Student!C$22="Y",Lists!D83*1.02,Lists!D83)</f>
        <v>4010.85686016</v>
      </c>
      <c r="F83" s="37">
        <f>IF(Student!C$22="Y",Lists!E83*1.02,Lists!E83)</f>
        <v>4091.0739973631999</v>
      </c>
    </row>
    <row r="84" spans="1:6">
      <c r="A84" s="35" t="s">
        <v>123</v>
      </c>
    </row>
    <row r="85" spans="1:6">
      <c r="A85" s="36" t="s">
        <v>121</v>
      </c>
      <c r="B85" s="9">
        <v>0</v>
      </c>
    </row>
    <row r="86" spans="1:6">
      <c r="A86" s="36" t="s">
        <v>59</v>
      </c>
      <c r="B86" s="37">
        <f>C54</f>
        <v>382.53</v>
      </c>
      <c r="C86" s="37">
        <f>IF(Student!C$22="Y",(Lists!B86*1.02),Lists!B86)</f>
        <v>390.18059999999997</v>
      </c>
      <c r="D86" s="37">
        <f>IF(Student!$C$22="Y",(Lists!C86*1.02),Lists!C86)</f>
        <v>397.98421199999996</v>
      </c>
      <c r="E86" s="37">
        <f>IF(Student!$C$22="Y",(Lists!D86*1.02),Lists!D86)</f>
        <v>405.94389623999996</v>
      </c>
      <c r="F86" s="37">
        <f>IF(Student!$C$22="Y",(Lists!E86*1.02),Lists!E86)</f>
        <v>414.06277416479998</v>
      </c>
    </row>
    <row r="87" spans="1:6">
      <c r="A87" s="36" t="s">
        <v>60</v>
      </c>
      <c r="B87" s="37">
        <f>C54</f>
        <v>382.53</v>
      </c>
      <c r="C87" s="37">
        <f>IF(Student!C$22="Y",(Lists!B87*1.02),Lists!B87)</f>
        <v>390.18059999999997</v>
      </c>
      <c r="D87" s="37">
        <f>IF(Student!$C$22="Y",(Lists!C87*1.02),Lists!C87)</f>
        <v>397.98421199999996</v>
      </c>
      <c r="E87" s="37">
        <f>IF(Student!$C$22="Y",(Lists!D87*1.02),Lists!D87)</f>
        <v>405.94389623999996</v>
      </c>
      <c r="F87" s="37">
        <f>IF(Student!$C$22="Y",(Lists!E87*1.02),Lists!E87)</f>
        <v>414.06277416479998</v>
      </c>
    </row>
    <row r="88" spans="1:6">
      <c r="A88" s="36" t="s">
        <v>58</v>
      </c>
      <c r="B88" s="37">
        <f>C54*2</f>
        <v>765.06</v>
      </c>
      <c r="C88" s="37">
        <f>IF(Student!C$22="Y",(Lists!B88*1.02),Lists!B88)</f>
        <v>780.36119999999994</v>
      </c>
      <c r="D88" s="37">
        <f>IF(Student!$C$22="Y",(Lists!C88*1.02),Lists!C88)</f>
        <v>795.96842399999991</v>
      </c>
      <c r="E88" s="37">
        <f>IF(Student!$C$22="Y",(Lists!D88*1.02),Lists!D88)</f>
        <v>811.88779247999992</v>
      </c>
      <c r="F88" s="37">
        <f>IF(Student!$C$22="Y",(Lists!E88*1.02),Lists!E88)</f>
        <v>828.12554832959995</v>
      </c>
    </row>
    <row r="89" spans="1:6">
      <c r="A89" s="36" t="s">
        <v>10</v>
      </c>
      <c r="B89" s="37">
        <f>C54*2</f>
        <v>765.06</v>
      </c>
      <c r="C89" s="37">
        <f>IF(Student!C$22="Y",(Lists!B89*1.02),Lists!B89)</f>
        <v>780.36119999999994</v>
      </c>
      <c r="D89" s="37">
        <f>IF(Student!$C$22="Y",(Lists!C89*1.02),Lists!C89)</f>
        <v>795.96842399999991</v>
      </c>
      <c r="E89" s="37">
        <f>IF(Student!$C$22="Y",(Lists!D89*1.02),Lists!D89)</f>
        <v>811.88779247999992</v>
      </c>
      <c r="F89" s="37">
        <f>IF(Student!$C$22="Y",(Lists!E89*1.02),Lists!E89)</f>
        <v>828.12554832959995</v>
      </c>
    </row>
    <row r="90" spans="1:6">
      <c r="A90" s="35" t="s">
        <v>124</v>
      </c>
    </row>
    <row r="91" spans="1:6">
      <c r="A91" s="36" t="s">
        <v>121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</row>
    <row r="92" spans="1:6">
      <c r="A92" s="36" t="s">
        <v>59</v>
      </c>
      <c r="B92" s="37">
        <f>A96/2</f>
        <v>2202</v>
      </c>
      <c r="C92" s="37">
        <f>IF(Student!$C$22="Y",(Lists!B92*1.02),Lists!B92)</f>
        <v>2246.04</v>
      </c>
      <c r="D92" s="37">
        <f>IF(Student!$C$22="Y",(Lists!C92*1.02),Lists!C92)</f>
        <v>2290.9607999999998</v>
      </c>
      <c r="E92" s="37">
        <f>IF(Student!$C$22="Y",(Lists!D92*1.02),Lists!D92)</f>
        <v>2336.7800159999997</v>
      </c>
      <c r="F92" s="37">
        <f>IF(Student!$C$22="Y",(Lists!E92*1.02),Lists!E92)</f>
        <v>2383.5156163199999</v>
      </c>
    </row>
    <row r="93" spans="1:6">
      <c r="A93" s="36" t="s">
        <v>60</v>
      </c>
      <c r="B93" s="37">
        <f>B92</f>
        <v>2202</v>
      </c>
      <c r="C93" s="37">
        <f>IF(Student!$C$22="Y",(Lists!B93*1.02),Lists!B93)</f>
        <v>2246.04</v>
      </c>
      <c r="D93" s="37">
        <f>IF(Student!$C$22="Y",(Lists!C93*1.02),Lists!C93)</f>
        <v>2290.9607999999998</v>
      </c>
      <c r="E93" s="37">
        <f>IF(Student!$C$22="Y",(Lists!D93*1.02),Lists!D93)</f>
        <v>2336.7800159999997</v>
      </c>
      <c r="F93" s="37">
        <f>IF(Student!$C$22="Y",(Lists!E93*1.02),Lists!E93)</f>
        <v>2383.5156163199999</v>
      </c>
    </row>
    <row r="94" spans="1:6">
      <c r="A94" s="36" t="s">
        <v>58</v>
      </c>
      <c r="B94" s="37">
        <f>A96</f>
        <v>4404</v>
      </c>
      <c r="C94" s="37">
        <f>IF(Student!$C$22="Y",(Lists!B94*1.02),Lists!B94)</f>
        <v>4492.08</v>
      </c>
      <c r="D94" s="37">
        <f>IF(Student!$C$22="Y",(Lists!C94*1.02),Lists!C94)</f>
        <v>4581.9215999999997</v>
      </c>
      <c r="E94" s="37">
        <f>IF(Student!$C$22="Y",(Lists!D94*1.02),Lists!D94)</f>
        <v>4673.5600319999994</v>
      </c>
      <c r="F94" s="37">
        <f>IF(Student!$C$22="Y",(Lists!E94*1.02),Lists!E94)</f>
        <v>4767.0312326399999</v>
      </c>
    </row>
    <row r="95" spans="1:6">
      <c r="A95" s="36" t="s">
        <v>10</v>
      </c>
      <c r="B95" s="37">
        <f>A96</f>
        <v>4404</v>
      </c>
      <c r="C95" s="37">
        <f>IF(Student!$C$22="Y",(Lists!B95*1.02),Lists!B95)</f>
        <v>4492.08</v>
      </c>
      <c r="D95" s="37">
        <f>IF(Student!$C$22="Y",(Lists!C95*1.02),Lists!C95)</f>
        <v>4581.9215999999997</v>
      </c>
      <c r="E95" s="37">
        <f>IF(Student!$C$22="Y",(Lists!D95*1.02),Lists!D95)</f>
        <v>4673.5600319999994</v>
      </c>
      <c r="F95" s="37">
        <f>IF(Student!$C$22="Y",(Lists!E95*1.02),Lists!E95)</f>
        <v>4767.0312326399999</v>
      </c>
    </row>
    <row r="96" spans="1:6">
      <c r="A96" s="10">
        <f>2202+2202</f>
        <v>4404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2d84fa-2ebd-4e1d-a9cb-4eab8377e6f8">
      <Terms xmlns="http://schemas.microsoft.com/office/infopath/2007/PartnerControls"/>
    </lcf76f155ced4ddcb4097134ff3c332f>
    <TaxCatchAll xmlns="500b76da-1d9e-4503-94e5-a46e8605b9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D37BE989D314B83E03DA36D7B3537" ma:contentTypeVersion="15" ma:contentTypeDescription="Create a new document." ma:contentTypeScope="" ma:versionID="8e8cc3474b97e5027b000689dc3e58b0">
  <xsd:schema xmlns:xsd="http://www.w3.org/2001/XMLSchema" xmlns:xs="http://www.w3.org/2001/XMLSchema" xmlns:p="http://schemas.microsoft.com/office/2006/metadata/properties" xmlns:ns2="8d2d84fa-2ebd-4e1d-a9cb-4eab8377e6f8" xmlns:ns3="500b76da-1d9e-4503-94e5-a46e8605b939" targetNamespace="http://schemas.microsoft.com/office/2006/metadata/properties" ma:root="true" ma:fieldsID="9ebd78d3dfcce30aa964a76f5006cb31" ns2:_="" ns3:_="">
    <xsd:import namespace="8d2d84fa-2ebd-4e1d-a9cb-4eab8377e6f8"/>
    <xsd:import namespace="500b76da-1d9e-4503-94e5-a46e8605b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d84fa-2ebd-4e1d-a9cb-4eab8377e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b76da-1d9e-4503-94e5-a46e8605b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cf042-ee83-4596-b09d-99b26029d3d7}" ma:internalName="TaxCatchAll" ma:showField="CatchAllData" ma:web="500b76da-1d9e-4503-94e5-a46e8605b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4BAA9-974A-4810-AFCF-2D575884EB83}"/>
</file>

<file path=customXml/itemProps2.xml><?xml version="1.0" encoding="utf-8"?>
<ds:datastoreItem xmlns:ds="http://schemas.openxmlformats.org/officeDocument/2006/customXml" ds:itemID="{46D91D6E-E1F4-485D-882B-F9044CE3240E}"/>
</file>

<file path=customXml/itemProps3.xml><?xml version="1.0" encoding="utf-8"?>
<ds:datastoreItem xmlns:ds="http://schemas.openxmlformats.org/officeDocument/2006/customXml" ds:itemID="{16483E57-DC33-4B4B-A8F1-39A61780E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Buker, Tracy</dc:creator>
  <cp:keywords/>
  <dc:description/>
  <cp:lastModifiedBy>Wells, Ann</cp:lastModifiedBy>
  <cp:revision/>
  <dcterms:created xsi:type="dcterms:W3CDTF">2020-11-23T17:04:52Z</dcterms:created>
  <dcterms:modified xsi:type="dcterms:W3CDTF">2024-06-24T21:56:10Z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0x010100C69D37BE989D314B83E03DA36D7B3537</vt:lpwstr>
  </property>
</Properties>
</file>