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hd/Documents/UCS 2.0/Brewery project/"/>
    </mc:Choice>
  </mc:AlternateContent>
  <xr:revisionPtr revIDLastSave="0" documentId="13_ncr:1_{9B0130FF-96C9-C340-B200-E52312F364E7}" xr6:coauthVersionLast="47" xr6:coauthVersionMax="47" xr10:uidLastSave="{00000000-0000-0000-0000-000000000000}"/>
  <bookViews>
    <workbookView xWindow="0" yWindow="740" windowWidth="29000" windowHeight="16680" activeTab="1" xr2:uid="{EA021AE8-ABDC-4C86-997D-E0D212774CCF}"/>
  </bookViews>
  <sheets>
    <sheet name="Suppler Information" sheetId="1" r:id="rId1"/>
    <sheet name="Utilities" sheetId="4" r:id="rId2"/>
    <sheet name="Building and Equipment List" sheetId="3" r:id="rId3"/>
    <sheet name="Beer 1 Scorecard" sheetId="2" r:id="rId4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24" i="3"/>
  <c r="G23" i="3"/>
  <c r="G21" i="3"/>
  <c r="G22" i="3"/>
  <c r="G20" i="3"/>
  <c r="G19" i="3"/>
  <c r="G18" i="3"/>
  <c r="G3" i="3"/>
  <c r="G9" i="3"/>
  <c r="G10" i="3"/>
  <c r="G11" i="3"/>
  <c r="G12" i="3"/>
  <c r="G13" i="3"/>
  <c r="G14" i="3"/>
  <c r="G15" i="3"/>
  <c r="G16" i="3"/>
  <c r="G17" i="3"/>
  <c r="G7" i="3"/>
  <c r="G8" i="3"/>
  <c r="G5" i="3"/>
  <c r="G6" i="3"/>
  <c r="G4" i="3"/>
  <c r="M34" i="2"/>
  <c r="J43" i="2"/>
  <c r="F2" i="4"/>
  <c r="J2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I34" i="2"/>
  <c r="K43" i="2"/>
  <c r="H34" i="2"/>
  <c r="G34" i="2"/>
  <c r="C43" i="2"/>
  <c r="D34" i="2"/>
  <c r="E43" i="2"/>
  <c r="C34" i="2"/>
  <c r="F3" i="4"/>
  <c r="F4" i="4"/>
  <c r="F5" i="4"/>
  <c r="F6" i="4"/>
  <c r="F7" i="4"/>
  <c r="F8" i="4"/>
  <c r="F9" i="4"/>
  <c r="F10" i="4"/>
  <c r="F34" i="2"/>
  <c r="E34" i="2"/>
  <c r="B34" i="2"/>
  <c r="B35" i="2"/>
  <c r="B36" i="2"/>
  <c r="G2" i="1"/>
  <c r="D13" i="1"/>
  <c r="H43" i="2"/>
  <c r="F11" i="4"/>
  <c r="K34" i="2"/>
  <c r="I43" i="2"/>
  <c r="D43" i="2"/>
  <c r="G43" i="2"/>
  <c r="G13" i="1"/>
  <c r="F43" i="2"/>
</calcChain>
</file>

<file path=xl/sharedStrings.xml><?xml version="1.0" encoding="utf-8"?>
<sst xmlns="http://schemas.openxmlformats.org/spreadsheetml/2006/main" count="51" uniqueCount="51">
  <si>
    <t>Supply</t>
  </si>
  <si>
    <t>Supplier Name</t>
  </si>
  <si>
    <t>Supplier Ship Location</t>
  </si>
  <si>
    <t>Distance Travelled (mi)</t>
  </si>
  <si>
    <t>Units/Shipment</t>
  </si>
  <si>
    <t>Unit</t>
  </si>
  <si>
    <t>Distance per Unit</t>
  </si>
  <si>
    <t>Utility Provider</t>
  </si>
  <si>
    <t>Utility</t>
  </si>
  <si>
    <t>Total Usage</t>
  </si>
  <si>
    <t>Units</t>
  </si>
  <si>
    <t>Unit Cost</t>
  </si>
  <si>
    <t>Total Cost</t>
  </si>
  <si>
    <t>Item</t>
  </si>
  <si>
    <t>Brand</t>
  </si>
  <si>
    <t>Model Number</t>
  </si>
  <si>
    <t>Voltage</t>
  </si>
  <si>
    <t>Phase</t>
  </si>
  <si>
    <t>Amps</t>
  </si>
  <si>
    <t>kW</t>
  </si>
  <si>
    <t>NG/LPG</t>
  </si>
  <si>
    <t>SCFH</t>
  </si>
  <si>
    <t>BTU eqv.</t>
  </si>
  <si>
    <t>Flow Rate (gal/min)</t>
  </si>
  <si>
    <t>Always On?</t>
  </si>
  <si>
    <t>Step</t>
  </si>
  <si>
    <t>Duration (min)</t>
  </si>
  <si>
    <t>Total Water Input (gal)</t>
  </si>
  <si>
    <t>Total Waste Water Output (gal)</t>
  </si>
  <si>
    <t>Total Grain Input (LBS)</t>
  </si>
  <si>
    <t>Total Grain Output (LBS)</t>
  </si>
  <si>
    <t>Total Chemical Input (gallons)</t>
  </si>
  <si>
    <t>Total o2 Input</t>
  </si>
  <si>
    <t>Total co2 Input</t>
  </si>
  <si>
    <t>Total kW Input</t>
  </si>
  <si>
    <t>Total kWh</t>
  </si>
  <si>
    <t>Total BTU Input</t>
  </si>
  <si>
    <t>Total BTUh</t>
  </si>
  <si>
    <t>Hours</t>
  </si>
  <si>
    <t>Days</t>
  </si>
  <si>
    <t>Batch Size (BBL)</t>
  </si>
  <si>
    <t>Batch Yield (BBL)</t>
  </si>
  <si>
    <t>Batch Yield (gal)</t>
  </si>
  <si>
    <t>Total Water Usage (gal)</t>
  </si>
  <si>
    <t>Water:Beer (gal:gal)</t>
  </si>
  <si>
    <t>Waste Water:Beer (gal:gal)</t>
  </si>
  <si>
    <t>Total Waste Water Usage (gal)</t>
  </si>
  <si>
    <t>co2 lbs./bbl.</t>
  </si>
  <si>
    <t>kWh/bbl.</t>
  </si>
  <si>
    <t>Waste water:Water (gal:gal)</t>
  </si>
  <si>
    <t>BTUh/bbl.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</si>
</sst>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* #,##0.0_);_(* \(#,##0.0\);_(* &quot;-&quot;??_);_(@_)"/>
    <numFmt numFmtId="166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0" applyNumberFormat="1"/>
    <xf numFmtId="2" fontId="0" fillId="0" borderId="0" xfId="0" applyNumberFormat="1"/>
    <xf numFmtId="44" fontId="0" fillId="0" borderId="0" xfId="2" applyFont="1"/>
    <xf numFmtId="43" fontId="0" fillId="0" borderId="0" xfId="1" applyFont="1" applyFill="1"/>
    <xf numFmtId="165" fontId="0" fillId="0" borderId="0" xfId="1" applyNumberFormat="1" applyFont="1"/>
    <xf numFmtId="166" fontId="0" fillId="0" borderId="0" xfId="1" applyNumberFormat="1" applyFont="1"/>
  </cellXfs>
  <cellStyles count="3">
    <cellStyle name="Comma" xfId="1" builtinId="3"/>
    <cellStyle name="Currency" xfId="2" builtinId="4"/>
    <cellStyle name="Normal" xfId="0" builtinId="0"/>
  </cellStyles>
  <dxfs count="44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164" formatCode="0.0000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numFmt numFmtId="35" formatCode="_(* #,##0.00_);_(* \(#,##0.00\);_(* &quot;-&quot;??_);_(@_)"/>
    </dxf>
    <dxf>
      <numFmt numFmtId="2" formatCode="0.00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35" formatCode="_(* #,##0.00_);_(* \(#,##0.00\);_(* &quot;-&quot;??_);_(@_)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65" formatCode="_(* #,##0.0_);_(* \(#,##0.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34" formatCode="_(&quot;$&quot;* #,##0.00_);_(&quot;$&quot;* \(#,##0.00\);_(&quot;$&quot;* &quot;-&quot;??_);_(@_)"/>
    </dxf>
    <dxf>
      <numFmt numFmtId="164" formatCode="0.00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6A9CFB-864D-46A3-8F7A-BB6D654D9CBF}" name="Table1" displayName="Table1" ref="A1:G13" totalsRowCount="1">
  <autoFilter ref="A1:G12" xr:uid="{AC6A9CFB-864D-46A3-8F7A-BB6D654D9CBF}"/>
  <tableColumns count="7">
    <tableColumn id="1" xr3:uid="{F30C3F43-28D1-4545-A3ED-64461A0FF26B}" name="Supply"/>
    <tableColumn id="2" xr3:uid="{3BA11444-5E7E-45CD-83C4-7C2CF9D9E5D2}" name="Supplier Name"/>
    <tableColumn id="3" xr3:uid="{A4E465A5-4FE0-4D92-9DE2-515CAFC4D2B0}" name="Supplier Ship Location"/>
    <tableColumn id="4" xr3:uid="{645FE453-D60A-4B28-B564-D51138ABAAD7}" name="Distance Travelled (mi)" totalsRowFunction="average" totalsRowDxfId="14" dataCellStyle="Comma"/>
    <tableColumn id="5" xr3:uid="{3079F606-A44B-4E07-B369-CFEC03B8C883}" name="Units/Shipment" totalsRowDxfId="13" dataCellStyle="Comma"/>
    <tableColumn id="6" xr3:uid="{FB07C0F1-657E-4683-B449-BE6A81AEA657}" name="Unit"/>
    <tableColumn id="7" xr3:uid="{C7048336-E3C6-4F1D-B6D0-CEC72445B2A5}" name="Distance per Unit" totalsRowFunction="average" dataDxfId="43" totalsRowDxfId="12">
      <calculatedColumnFormula>SUM(Table1[[#This Row],[Distance Travelled (mi)]]/Table1[[#This Row],[Units/Shipment]])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8D8D9FD-A09E-40EF-A5BD-AF4A6B77F005}" name="Table5" displayName="Table5" ref="A1:F11" totalsRowCount="1">
  <autoFilter ref="A1:F10" xr:uid="{18D8D9FD-A09E-40EF-A5BD-AF4A6B77F005}"/>
  <tableColumns count="6">
    <tableColumn id="1" xr3:uid="{AA50EE5C-9AF5-4FB9-912E-656E440DA667}" name="Utility Provider"/>
    <tableColumn id="2" xr3:uid="{9D4349C0-E423-450C-B9AC-D671850FF2B2}" name="Utility"/>
    <tableColumn id="3" xr3:uid="{780E1744-9614-41DF-995E-3459E021CD7C}" name="Total Usage" totalsRowDxfId="17" dataCellStyle="Comma" totalsRowCellStyle="Comma"/>
    <tableColumn id="4" xr3:uid="{E0EEB0A8-7D63-40CC-B613-91CDC2AAEB07}" name="Units"/>
    <tableColumn id="5" xr3:uid="{4903E1CB-A0D0-4580-8B88-76DDB5F6D064}" name="Unit Cost" totalsRowDxfId="16" dataCellStyle="Currency" totalsRowCellStyle="Currency"/>
    <tableColumn id="6" xr3:uid="{CABDC5C2-EF3C-4BD0-8274-5D393E9D94B2}" name="Total Cost" totalsRowFunction="sum" dataDxfId="42" totalsRowDxfId="15" dataCellStyle="Currency" totalsRowCellStyle="Currency">
      <calculatedColumnFormula>SUM(Table5[[#This Row],[Total Usage]]*Table5[[#This Row],[Unit Cost]])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2DC65C-D1FC-4E03-99EA-4FA981FE6E6A}" name="Table3" displayName="Table3" ref="A1:L24" totalsRowShown="0">
  <autoFilter ref="A1:L24" xr:uid="{BF2DC65C-D1FC-4E03-99EA-4FA981FE6E6A}"/>
  <tableColumns count="12">
    <tableColumn id="1" xr3:uid="{E9EC3248-977B-42F4-B6AA-8784A86FD80B}" name="Item"/>
    <tableColumn id="2" xr3:uid="{ACE5B719-2C2E-4407-BAB5-D33EEF34B408}" name="Brand"/>
    <tableColumn id="3" xr3:uid="{48782E33-5CD1-40E6-8176-DDB0EA7A210C}" name="Model Number"/>
    <tableColumn id="9" xr3:uid="{F2D5DA07-8BA1-416D-B161-16E92C5EF9E5}" name="Voltage" dataDxfId="41" dataCellStyle="Comma"/>
    <tableColumn id="10" xr3:uid="{3FAFB19B-58F5-47B2-8F35-ADC478D2E275}" name="Phase" dataDxfId="40" dataCellStyle="Comma"/>
    <tableColumn id="11" xr3:uid="{635803EA-F5A4-469E-B72E-CEAF79FA19ED}" name="Amps" dataDxfId="39" dataCellStyle="Comma"/>
    <tableColumn id="5" xr3:uid="{AA865B0D-69A8-40E1-8B09-4B7BDC766FB0}" name="kW" dataDxfId="38" dataCellStyle="Comma">
      <calculatedColumnFormula array="1">_xlfn.IFS(Table3[Phase]=1,(0.85)*Table3[[#This Row],[Amps]]*Table3[[#This Row],[Voltage]]/1000,Table3[Phase]=3,3*(0.85)*Table3[[#This Row],[Amps]]*Table3[[#This Row],[Voltage]]/1000)</calculatedColumnFormula>
    </tableColumn>
    <tableColumn id="6" xr3:uid="{2AD54633-233B-4C19-B3E4-5E139121B1CF}" name="NG/LPG" dataCellStyle="Comma"/>
    <tableColumn id="7" xr3:uid="{CB53686A-B2DD-484E-9F2C-617A5895BF53}" name="SCFH" dataCellStyle="Comma"/>
    <tableColumn id="12" xr3:uid="{CF84A881-895B-44EB-AD84-B663C37DF7E9}" name="BTU eqv." dataCellStyle="Comma">
      <calculatedColumnFormula>SUM(Table3[[#This Row],[SCFH]]*2.7213)</calculatedColumnFormula>
    </tableColumn>
    <tableColumn id="4" xr3:uid="{BB2F341B-2681-4423-BFC2-88F6FA75F6AE}" name="Flow Rate (gal/min)" dataCellStyle="Comma"/>
    <tableColumn id="8" xr3:uid="{2196F1AC-8DDB-4A38-8A7B-6BC16F3D36CF}" name="Always On?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99FE7BD-FFD4-4AA8-94FB-180F99B4F6EE}" name="Table2" displayName="Table2" ref="A1:M34" totalsRowCount="1">
  <autoFilter ref="A1:M33" xr:uid="{799FE7BD-FFD4-4AA8-94FB-180F99B4F6EE}"/>
  <tableColumns count="13">
    <tableColumn id="1" xr3:uid="{0F20C556-9E93-45CB-9121-61B445C86A9F}" name="Step"/>
    <tableColumn id="2" xr3:uid="{52BB506E-0F87-424F-8003-722C88379A64}" name="Duration (min)" totalsRowFunction="sum" totalsRowDxfId="11"/>
    <tableColumn id="4" xr3:uid="{C6046FE6-4B81-4539-B9A5-DC1FB7539523}" name="Total Water Input (gal)" totalsRowFunction="sum" dataDxfId="37" totalsRowDxfId="10" dataCellStyle="Comma"/>
    <tableColumn id="5" xr3:uid="{D7546AE6-0DAC-4838-ADFC-7B0BEEA44486}" name="Total Waste Water Output (gal)" totalsRowFunction="sum" dataDxfId="36" totalsRowDxfId="9" dataCellStyle="Comma"/>
    <tableColumn id="11" xr3:uid="{9AA7E1A3-BA49-4992-A802-F22697FD1171}" name="Total Grain Input (LBS)" totalsRowFunction="sum" dataDxfId="35" totalsRowDxfId="8" dataCellStyle="Comma"/>
    <tableColumn id="12" xr3:uid="{C1DBAC30-26EE-42E6-ACEF-B47F46C96056}" name="Total Grain Output (LBS)" totalsRowFunction="sum" dataDxfId="34" totalsRowDxfId="7" dataCellStyle="Comma"/>
    <tableColumn id="6" xr3:uid="{CCEB1974-65BB-4F7D-B6EE-1F25EE7C6478}" name="Total Chemical Input (gallons)" totalsRowFunction="sum" dataDxfId="33" totalsRowDxfId="6" dataCellStyle="Comma"/>
    <tableColumn id="7" xr3:uid="{F23D45AE-4B36-42AB-836E-B5FFEE3F97D0}" name="Total o2 Input" totalsRowFunction="sum" dataDxfId="32" totalsRowDxfId="5" dataCellStyle="Comma"/>
    <tableColumn id="8" xr3:uid="{7B671652-1A39-4077-AE26-AC325B30E55F}" name="Total co2 Input" totalsRowFunction="sum" dataDxfId="31" totalsRowDxfId="4" dataCellStyle="Comma"/>
    <tableColumn id="9" xr3:uid="{9992494B-5F67-496A-AFC8-AA69D18628EB}" name="Total kW Input" dataDxfId="30" totalsRowDxfId="3" dataCellStyle="Comma"/>
    <tableColumn id="10" xr3:uid="{A4588BCE-6872-4C7B-9E03-F5E4AC20E1FF}" name="Total kWh" totalsRowFunction="sum" dataDxfId="29" totalsRowDxfId="2" dataCellStyle="Comma"/>
    <tableColumn id="3" xr3:uid="{FB0F9491-20A3-4C33-B53D-7967624F98CD}" name="Total BTU Input" dataDxfId="28" totalsRowDxfId="1" dataCellStyle="Comma"/>
    <tableColumn id="13" xr3:uid="{F9765F15-7569-44BA-8775-89E90E6FC755}" name="Total BTUh" totalsRowFunction="sum" dataDxfId="27" totalsRowDxfId="0" dataCellStyle="Comma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0FC35B7-E57A-417E-99CD-34EADB5211D5}" name="Table6" displayName="Table6" ref="A42:K43" totalsRowShown="0">
  <autoFilter ref="A42:K43" xr:uid="{B0FC35B7-E57A-417E-99CD-34EADB5211D5}"/>
  <tableColumns count="11">
    <tableColumn id="1" xr3:uid="{26EF3928-0CBF-4DCF-BD82-ECD76E2AC6F6}" name="Batch Size (BBL)"/>
    <tableColumn id="6" xr3:uid="{760FB15C-883A-42D1-8158-C1103F5F482B}" name="Batch Yield (BBL)"/>
    <tableColumn id="2" xr3:uid="{464E544A-FC83-44BF-85C4-CB9516FEABB0}" name="Batch Yield (gal)">
      <calculatedColumnFormula>SUM(Table6[[#This Row],[Batch Yield (BBL)]]*31)</calculatedColumnFormula>
    </tableColumn>
    <tableColumn id="3" xr3:uid="{7D517F08-150B-431D-A4A1-217B9E920974}" name="Total Water Usage (gal)">
      <calculatedColumnFormula>SUM(Table2[[#Totals],[Total Water Input (gal)]])</calculatedColumnFormula>
    </tableColumn>
    <tableColumn id="7" xr3:uid="{5B0B7C07-1DAF-4DD1-91AF-F91A3A0818D2}" name="Total Waste Water Usage (gal)" dataDxfId="26">
      <calculatedColumnFormula>SUM(Table2[[#Totals],[Total Waste Water Output (gal)]])</calculatedColumnFormula>
    </tableColumn>
    <tableColumn id="10" xr3:uid="{31D83DB7-0A74-44C7-A8DF-5EC9A5CF3553}" name="Waste water:Water (gal:gal)" dataDxfId="25">
      <calculatedColumnFormula>SUM(Table6[[#This Row],[Total Waste Water Usage (gal)]]/Table6[[#This Row],[Total Water Usage (gal)]])</calculatedColumnFormula>
    </tableColumn>
    <tableColumn id="4" xr3:uid="{2D1363B3-F9ED-49D3-9679-A654214F0AD3}" name="Water:Beer (gal:gal)" dataDxfId="24">
      <calculatedColumnFormula>SUM(Table6[[#This Row],[Total Water Usage (gal)]]/(Table6[[#This Row],[Batch Size (BBL)]]*31))</calculatedColumnFormula>
    </tableColumn>
    <tableColumn id="5" xr3:uid="{6B9FAAAD-CD45-48C4-949B-ACD7DA6EA913}" name="Waste Water:Beer (gal:gal)">
      <calculatedColumnFormula>SUM(Table6[[#This Row],[Total Waste Water Usage (gal)]]/(Table6[[#This Row],[Batch Size (BBL)]]*31))</calculatedColumnFormula>
    </tableColumn>
    <tableColumn id="8" xr3:uid="{3D7471C5-A8B7-4FE1-B039-AECD8D07A420}" name="kWh/bbl.">
      <calculatedColumnFormula>SUM(Table2[[#Totals],[Total kWh]]/Table6[[#This Row],[Batch Size (BBL)]])</calculatedColumnFormula>
    </tableColumn>
    <tableColumn id="11" xr3:uid="{9C7FE399-467D-46F6-8510-2A929F654AC4}" name="BTUh/bbl." dataDxfId="23">
      <calculatedColumnFormula>SUM(Table2[[#Totals],[Total BTUh]]/Table6[[#This Row],[Batch Size (BBL)]])</calculatedColumnFormula>
    </tableColumn>
    <tableColumn id="9" xr3:uid="{CFB77F9B-681E-4C26-86FD-6FACBC2EA512}" name="co2 lbs./bbl.">
      <calculatedColumnFormula>SUM(Table2[[#Totals],[Total co2 Input]]/Table6[[#This Row],[Batch Size (BBL)]])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A135E-FE80-4DBC-A04C-AC2B2CF03662}">
  <dimension ref="A1:G13"/>
  <sheetViews>
    <sheetView zoomScaleNormal="100" workbookViewId="0">
      <selection activeCell="G19" sqref="G19"/>
    </sheetView>
  </sheetViews>
  <sheetFormatPr baseColWidth="10" defaultColWidth="8.83203125" defaultRowHeight="15" x14ac:dyDescent="0.2"/>
  <cols>
    <col min="1" max="1" width="12.1640625" bestFit="1" customWidth="1"/>
    <col min="2" max="2" width="17.33203125" bestFit="1" customWidth="1"/>
    <col min="3" max="3" width="21" customWidth="1"/>
    <col min="4" max="4" width="24.33203125" bestFit="1" customWidth="1"/>
    <col min="5" max="5" width="17.6640625" bestFit="1" customWidth="1"/>
    <col min="6" max="6" width="7.33203125" bestFit="1" customWidth="1"/>
    <col min="7" max="7" width="19" bestFit="1" customWidth="1"/>
  </cols>
  <sheetData>
    <row r="1" spans="1: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">
      <c r="D2" s="2"/>
      <c r="E2" s="2"/>
      <c r="G2" s="1" t="e">
        <f>SUM(Table1[[#This Row],[Distance Travelled (mi)]]/Table1[[#This Row],[Units/Shipment]])</f>
        <v>#DIV/0!</v>
      </c>
    </row>
    <row r="3" spans="1:7" x14ac:dyDescent="0.2">
      <c r="D3" s="2"/>
      <c r="E3" s="2"/>
      <c r="G3" s="1" t="e">
        <f>SUM(Table1[[#This Row],[Distance Travelled (mi)]]/Table1[[#This Row],[Units/Shipment]])</f>
        <v>#DIV/0!</v>
      </c>
    </row>
    <row r="4" spans="1:7" x14ac:dyDescent="0.2">
      <c r="D4" s="2"/>
      <c r="E4" s="2"/>
      <c r="G4" s="1" t="e">
        <f>SUM(Table1[[#This Row],[Distance Travelled (mi)]]/Table1[[#This Row],[Units/Shipment]])</f>
        <v>#DIV/0!</v>
      </c>
    </row>
    <row r="5" spans="1:7" x14ac:dyDescent="0.2">
      <c r="D5" s="2"/>
      <c r="E5" s="2"/>
      <c r="G5" s="1" t="e">
        <f>SUM(Table1[[#This Row],[Distance Travelled (mi)]]/Table1[[#This Row],[Units/Shipment]])</f>
        <v>#DIV/0!</v>
      </c>
    </row>
    <row r="6" spans="1:7" x14ac:dyDescent="0.2">
      <c r="D6" s="2"/>
      <c r="E6" s="2"/>
      <c r="G6" s="1" t="e">
        <f>SUM(Table1[[#This Row],[Distance Travelled (mi)]]/Table1[[#This Row],[Units/Shipment]])</f>
        <v>#DIV/0!</v>
      </c>
    </row>
    <row r="7" spans="1:7" x14ac:dyDescent="0.2">
      <c r="D7" s="2"/>
      <c r="E7" s="2"/>
      <c r="G7" s="1" t="e">
        <f>SUM(Table1[[#This Row],[Distance Travelled (mi)]]/Table1[[#This Row],[Units/Shipment]])</f>
        <v>#DIV/0!</v>
      </c>
    </row>
    <row r="8" spans="1:7" x14ac:dyDescent="0.2">
      <c r="D8" s="2"/>
      <c r="E8" s="2"/>
      <c r="G8" s="1" t="e">
        <f>SUM(Table1[[#This Row],[Distance Travelled (mi)]]/Table1[[#This Row],[Units/Shipment]])</f>
        <v>#DIV/0!</v>
      </c>
    </row>
    <row r="9" spans="1:7" x14ac:dyDescent="0.2">
      <c r="D9" s="2"/>
      <c r="E9" s="2"/>
      <c r="G9" s="1" t="e">
        <f>SUM(Table1[[#This Row],[Distance Travelled (mi)]]/Table1[[#This Row],[Units/Shipment]])</f>
        <v>#DIV/0!</v>
      </c>
    </row>
    <row r="10" spans="1:7" x14ac:dyDescent="0.2">
      <c r="D10" s="2"/>
      <c r="E10" s="2"/>
      <c r="G10" s="1" t="e">
        <f>SUM(Table1[[#This Row],[Distance Travelled (mi)]]/Table1[[#This Row],[Units/Shipment]])</f>
        <v>#DIV/0!</v>
      </c>
    </row>
    <row r="11" spans="1:7" x14ac:dyDescent="0.2">
      <c r="D11" s="2"/>
      <c r="E11" s="2"/>
      <c r="G11" s="1" t="e">
        <f>SUM(Table1[[#This Row],[Distance Travelled (mi)]]/Table1[[#This Row],[Units/Shipment]])</f>
        <v>#DIV/0!</v>
      </c>
    </row>
    <row r="12" spans="1:7" x14ac:dyDescent="0.2">
      <c r="D12" s="2"/>
      <c r="E12" s="2"/>
      <c r="G12" s="1" t="e">
        <f>SUM(Table1[[#This Row],[Distance Travelled (mi)]]/Table1[[#This Row],[Units/Shipment]])</f>
        <v>#DIV/0!</v>
      </c>
    </row>
    <row r="13" spans="1:7" x14ac:dyDescent="0.2">
      <c r="D13" s="3" t="e">
        <f>SUBTOTAL(101,Table1[Distance Travelled (mi)])</f>
        <v>#DIV/0!</v>
      </c>
      <c r="E13" s="3"/>
      <c r="G13" s="1" t="e">
        <f>SUBTOTAL(101,Table1[Distance per Unit])</f>
        <v>#DIV/0!</v>
      </c>
    </row>
  </sheetData>
  <conditionalFormatting sqref="D2:D12">
    <cfRule type="cellIs" dxfId="22" priority="1" operator="greaterThan">
      <formula>1001</formula>
    </cfRule>
    <cfRule type="cellIs" dxfId="21" priority="2" operator="between">
      <formula>201</formula>
      <formula>1000</formula>
    </cfRule>
    <cfRule type="cellIs" dxfId="20" priority="3" operator="between">
      <formula>1</formula>
      <formula>200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3BCDE-4E7B-4DC0-8C9F-8F260D73B47D}">
  <dimension ref="A1:F11"/>
  <sheetViews>
    <sheetView tabSelected="1" workbookViewId="0">
      <selection activeCell="E18" sqref="E18"/>
    </sheetView>
  </sheetViews>
  <sheetFormatPr baseColWidth="10" defaultColWidth="8.83203125" defaultRowHeight="15" x14ac:dyDescent="0.2"/>
  <cols>
    <col min="1" max="1" width="24.6640625" bestFit="1" customWidth="1"/>
    <col min="2" max="2" width="14.6640625" customWidth="1"/>
    <col min="3" max="3" width="13.6640625" bestFit="1" customWidth="1"/>
    <col min="4" max="4" width="8" bestFit="1" customWidth="1"/>
    <col min="5" max="5" width="11.33203125" bestFit="1" customWidth="1"/>
    <col min="6" max="6" width="12" bestFit="1" customWidth="1"/>
  </cols>
  <sheetData>
    <row r="1" spans="1:6" x14ac:dyDescent="0.2">
      <c r="A1" t="s">
        <v>7</v>
      </c>
      <c r="B1" t="s">
        <v>8</v>
      </c>
      <c r="C1" t="s">
        <v>9</v>
      </c>
      <c r="D1" t="s">
        <v>10</v>
      </c>
      <c r="E1" t="s">
        <v>11</v>
      </c>
      <c r="F1" t="s">
        <v>12</v>
      </c>
    </row>
    <row r="2" spans="1:6" x14ac:dyDescent="0.2">
      <c r="C2" s="2"/>
      <c r="E2" s="5"/>
      <c r="F2" s="5">
        <f>SUM(Table5[[#This Row],[Total Usage]]*Table5[[#This Row],[Unit Cost]])</f>
        <v>0</v>
      </c>
    </row>
    <row r="3" spans="1:6" x14ac:dyDescent="0.2">
      <c r="C3" s="2"/>
      <c r="E3" s="5"/>
      <c r="F3" s="5">
        <f>SUM(Table5[[#This Row],[Total Usage]]*Table5[[#This Row],[Unit Cost]])</f>
        <v>0</v>
      </c>
    </row>
    <row r="4" spans="1:6" x14ac:dyDescent="0.2">
      <c r="C4" s="2"/>
      <c r="E4" s="5"/>
      <c r="F4" s="5">
        <f>SUM(Table5[[#This Row],[Total Usage]]*Table5[[#This Row],[Unit Cost]])</f>
        <v>0</v>
      </c>
    </row>
    <row r="5" spans="1:6" x14ac:dyDescent="0.2">
      <c r="C5" s="2"/>
      <c r="E5" s="5"/>
      <c r="F5" s="5">
        <f>SUM(Table5[[#This Row],[Total Usage]]*Table5[[#This Row],[Unit Cost]])</f>
        <v>0</v>
      </c>
    </row>
    <row r="6" spans="1:6" x14ac:dyDescent="0.2">
      <c r="C6" s="2"/>
      <c r="E6" s="5">
        <v>0</v>
      </c>
      <c r="F6" s="5">
        <f>SUM(Table5[[#This Row],[Total Usage]]*Table5[[#This Row],[Unit Cost]])</f>
        <v>0</v>
      </c>
    </row>
    <row r="7" spans="1:6" x14ac:dyDescent="0.2">
      <c r="C7" s="2"/>
      <c r="E7" s="5">
        <v>0</v>
      </c>
      <c r="F7" s="5">
        <f>SUM(Table5[[#This Row],[Total Usage]]*Table5[[#This Row],[Unit Cost]])</f>
        <v>0</v>
      </c>
    </row>
    <row r="8" spans="1:6" x14ac:dyDescent="0.2">
      <c r="C8" s="2"/>
      <c r="E8" s="5">
        <v>0</v>
      </c>
      <c r="F8" s="5">
        <f>SUM(Table5[[#This Row],[Total Usage]]*Table5[[#This Row],[Unit Cost]])</f>
        <v>0</v>
      </c>
    </row>
    <row r="9" spans="1:6" x14ac:dyDescent="0.2">
      <c r="C9" s="2"/>
      <c r="E9" s="5">
        <v>0</v>
      </c>
      <c r="F9" s="5">
        <f>SUM(Table5[[#This Row],[Total Usage]]*Table5[[#This Row],[Unit Cost]])</f>
        <v>0</v>
      </c>
    </row>
    <row r="10" spans="1:6" x14ac:dyDescent="0.2">
      <c r="C10" s="2"/>
      <c r="E10" s="5">
        <v>0</v>
      </c>
      <c r="F10" s="5">
        <f>SUM(Table5[[#This Row],[Total Usage]]*Table5[[#This Row],[Unit Cost]])</f>
        <v>0</v>
      </c>
    </row>
    <row r="11" spans="1:6" x14ac:dyDescent="0.2">
      <c r="C11" s="2"/>
      <c r="E11" s="5"/>
      <c r="F11" s="5">
        <f>SUBTOTAL(109,Table5[Total Cost])</f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252D2-84F8-47EC-B823-052F0B12BB52}">
  <dimension ref="A1:L24"/>
  <sheetViews>
    <sheetView workbookViewId="0">
      <selection activeCell="L25" sqref="L25"/>
    </sheetView>
  </sheetViews>
  <sheetFormatPr baseColWidth="10" defaultColWidth="8.83203125" defaultRowHeight="15" x14ac:dyDescent="0.2"/>
  <cols>
    <col min="1" max="2" width="19.33203125" bestFit="1" customWidth="1"/>
    <col min="3" max="3" width="17.6640625" bestFit="1" customWidth="1"/>
    <col min="4" max="4" width="10.1640625" bestFit="1" customWidth="1"/>
    <col min="5" max="5" width="8.6640625" bestFit="1" customWidth="1"/>
    <col min="6" max="6" width="8.33203125" bestFit="1" customWidth="1"/>
    <col min="7" max="7" width="10.33203125" customWidth="1"/>
    <col min="8" max="8" width="10.33203125" bestFit="1" customWidth="1"/>
    <col min="9" max="9" width="9.6640625" bestFit="1" customWidth="1"/>
    <col min="10" max="10" width="11.1640625" bestFit="1" customWidth="1"/>
    <col min="11" max="11" width="21" bestFit="1" customWidth="1"/>
    <col min="12" max="12" width="13.83203125" bestFit="1" customWidth="1"/>
    <col min="13" max="13" width="12.33203125" customWidth="1"/>
  </cols>
  <sheetData>
    <row r="1" spans="1:12" x14ac:dyDescent="0.2">
      <c r="A1" t="s">
        <v>13</v>
      </c>
      <c r="B1" t="s">
        <v>14</v>
      </c>
      <c r="C1" t="s">
        <v>15</v>
      </c>
      <c r="D1" t="s">
        <v>16</v>
      </c>
      <c r="E1" t="s">
        <v>17</v>
      </c>
      <c r="F1" t="s">
        <v>18</v>
      </c>
      <c r="G1" t="s">
        <v>19</v>
      </c>
      <c r="H1" t="s">
        <v>20</v>
      </c>
      <c r="I1" t="s">
        <v>21</v>
      </c>
      <c r="J1" t="s">
        <v>22</v>
      </c>
      <c r="K1" t="s">
        <v>23</v>
      </c>
      <c r="L1" t="s">
        <v>24</v>
      </c>
    </row>
    <row r="2" spans="1:12" x14ac:dyDescent="0.2">
      <c r="D2" s="8"/>
      <c r="E2" s="8"/>
      <c r="F2" s="8"/>
      <c r="G2" s="7">
        <v>0</v>
      </c>
      <c r="H2" s="2">
        <v>0</v>
      </c>
      <c r="I2" s="2">
        <v>0</v>
      </c>
      <c r="J2" s="2">
        <f>SUM(Table3[[#This Row],[SCFH]]*2.7213)</f>
        <v>0</v>
      </c>
      <c r="K2" s="2"/>
    </row>
    <row r="3" spans="1:12" x14ac:dyDescent="0.2">
      <c r="D3" s="8"/>
      <c r="E3" s="8"/>
      <c r="F3" s="8"/>
      <c r="G3" s="7">
        <f>SUM(0.85*Table3[[#This Row],[Amps]]*(Table3[[#This Row],[Voltage]]*0.8165)/1000)</f>
        <v>0</v>
      </c>
      <c r="H3" s="2"/>
      <c r="I3" s="2"/>
      <c r="J3" s="2">
        <f>SUM(Table3[[#This Row],[SCFH]]*2.7213)</f>
        <v>0</v>
      </c>
      <c r="K3" s="2"/>
    </row>
    <row r="4" spans="1:12" x14ac:dyDescent="0.2">
      <c r="D4" s="8"/>
      <c r="E4" s="8"/>
      <c r="F4" s="8"/>
      <c r="G4" s="7">
        <f>SUM(SQRT(3)*0.85)*(Table3[[#This Row],[Amps]])*(Table3[[#This Row],[Voltage]]*0.8165)/1000</f>
        <v>0</v>
      </c>
      <c r="H4" s="2"/>
      <c r="I4" s="2"/>
      <c r="J4" s="2">
        <f>SUM(Table3[[#This Row],[SCFH]]*2.7213)</f>
        <v>0</v>
      </c>
      <c r="K4" s="2"/>
    </row>
    <row r="5" spans="1:12" x14ac:dyDescent="0.2">
      <c r="D5" s="8"/>
      <c r="E5" s="8"/>
      <c r="F5" s="8"/>
      <c r="G5" s="7">
        <f>SUM(SQRT(3)*0.85)*(Table3[[#This Row],[Amps]])*(Table3[[#This Row],[Voltage]]*0.8165)/1000</f>
        <v>0</v>
      </c>
      <c r="H5" s="2">
        <v>0</v>
      </c>
      <c r="I5" s="2">
        <v>0</v>
      </c>
      <c r="J5" s="2">
        <f>SUM(Table3[[#This Row],[SCFH]]*2.7213)</f>
        <v>0</v>
      </c>
      <c r="K5" s="2"/>
    </row>
    <row r="6" spans="1:12" x14ac:dyDescent="0.2">
      <c r="D6" s="8"/>
      <c r="E6" s="8"/>
      <c r="F6" s="8"/>
      <c r="G6" s="7">
        <f>SUM(SQRT(3)*0.85)*(Table3[[#This Row],[Amps]])*(Table3[[#This Row],[Voltage]]*0.8165)/1000</f>
        <v>0</v>
      </c>
      <c r="H6" s="2">
        <v>0</v>
      </c>
      <c r="I6" s="2">
        <v>0</v>
      </c>
      <c r="J6" s="2">
        <f>SUM(Table3[[#This Row],[SCFH]]*2.7213)</f>
        <v>0</v>
      </c>
      <c r="K6" s="2"/>
    </row>
    <row r="7" spans="1:12" x14ac:dyDescent="0.2">
      <c r="D7" s="8"/>
      <c r="E7" s="8"/>
      <c r="F7" s="8"/>
      <c r="G7" s="7">
        <f>SUM(SQRT(3)*0.85)*(Table3[[#This Row],[Amps]])*(Table3[[#This Row],[Voltage]]*0.8165)/1000</f>
        <v>0</v>
      </c>
      <c r="H7" s="2">
        <v>0</v>
      </c>
      <c r="I7" s="2">
        <v>0</v>
      </c>
      <c r="J7" s="2">
        <f>SUM(Table3[[#This Row],[SCFH]]*2.7213)</f>
        <v>0</v>
      </c>
      <c r="K7" s="2"/>
    </row>
    <row r="8" spans="1:12" x14ac:dyDescent="0.2">
      <c r="D8" s="8"/>
      <c r="E8" s="8"/>
      <c r="F8" s="8"/>
      <c r="G8" s="7">
        <f>SUM(SQRT(3)*0.85)*(Table3[[#This Row],[Amps]])*(Table3[[#This Row],[Voltage]]*0.8165)/1000</f>
        <v>0</v>
      </c>
      <c r="H8" s="2">
        <v>0</v>
      </c>
      <c r="I8" s="2">
        <v>0</v>
      </c>
      <c r="J8" s="2">
        <f>SUM(Table3[[#This Row],[SCFH]]*2.7213)</f>
        <v>0</v>
      </c>
      <c r="K8" s="2"/>
    </row>
    <row r="9" spans="1:12" x14ac:dyDescent="0.2">
      <c r="D9" s="8"/>
      <c r="E9" s="8"/>
      <c r="F9" s="8"/>
      <c r="G9" s="7">
        <f>SUM(SQRT(3)*0.85)*(Table3[[#This Row],[Amps]])*(Table3[[#This Row],[Voltage]]*0.8165)/1000</f>
        <v>0</v>
      </c>
      <c r="H9" s="2">
        <v>0</v>
      </c>
      <c r="I9" s="2">
        <v>0</v>
      </c>
      <c r="J9" s="2">
        <f>SUM(Table3[[#This Row],[SCFH]]*2.7213)</f>
        <v>0</v>
      </c>
      <c r="K9" s="2"/>
    </row>
    <row r="10" spans="1:12" x14ac:dyDescent="0.2">
      <c r="D10" s="8"/>
      <c r="E10" s="8"/>
      <c r="F10" s="8"/>
      <c r="G10" s="7">
        <f>SUM(SQRT(3)*0.85)*(Table3[[#This Row],[Amps]])*(Table3[[#This Row],[Voltage]]*0.8165)/1000</f>
        <v>0</v>
      </c>
      <c r="H10" s="2">
        <v>0</v>
      </c>
      <c r="I10" s="2">
        <v>0</v>
      </c>
      <c r="J10" s="2">
        <f>SUM(Table3[[#This Row],[SCFH]]*2.7213)</f>
        <v>0</v>
      </c>
      <c r="K10" s="2"/>
    </row>
    <row r="11" spans="1:12" x14ac:dyDescent="0.2">
      <c r="D11" s="8"/>
      <c r="E11" s="8"/>
      <c r="F11" s="8"/>
      <c r="G11" s="7">
        <f>SUM(SQRT(3)*0.85)*(Table3[[#This Row],[Amps]])*(Table3[[#This Row],[Voltage]]*0.8165)/1000</f>
        <v>0</v>
      </c>
      <c r="H11" s="2">
        <v>0</v>
      </c>
      <c r="I11" s="2">
        <v>0</v>
      </c>
      <c r="J11" s="2">
        <f>SUM(Table3[[#This Row],[SCFH]]*2.7213)</f>
        <v>0</v>
      </c>
      <c r="K11" s="2"/>
    </row>
    <row r="12" spans="1:12" x14ac:dyDescent="0.2">
      <c r="D12" s="8"/>
      <c r="E12" s="8"/>
      <c r="F12" s="8"/>
      <c r="G12" s="7">
        <f>SUM(SQRT(3)*0.85)*(Table3[[#This Row],[Amps]])*(Table3[[#This Row],[Voltage]]*0.8165)/1000</f>
        <v>0</v>
      </c>
      <c r="H12" s="2">
        <v>0</v>
      </c>
      <c r="I12" s="2">
        <v>0</v>
      </c>
      <c r="J12" s="2">
        <f>SUM(Table3[[#This Row],[SCFH]]*2.7213)</f>
        <v>0</v>
      </c>
      <c r="K12" s="2"/>
    </row>
    <row r="13" spans="1:12" x14ac:dyDescent="0.2">
      <c r="D13" s="8"/>
      <c r="E13" s="8"/>
      <c r="F13" s="8"/>
      <c r="G13" s="7">
        <f>SUM(SQRT(3)*0.85)*(Table3[[#This Row],[Amps]])*(Table3[[#This Row],[Voltage]]*0.8165)/1000</f>
        <v>0</v>
      </c>
      <c r="H13" s="2">
        <v>0</v>
      </c>
      <c r="I13" s="2">
        <v>0</v>
      </c>
      <c r="J13" s="2">
        <f>SUM(Table3[[#This Row],[SCFH]]*2.7213)</f>
        <v>0</v>
      </c>
      <c r="K13" s="2"/>
    </row>
    <row r="14" spans="1:12" x14ac:dyDescent="0.2">
      <c r="D14" s="8"/>
      <c r="E14" s="8"/>
      <c r="F14" s="8"/>
      <c r="G14" s="7">
        <f>SUM(SQRT(3)*0.85)*(Table3[[#This Row],[Amps]])*(Table3[[#This Row],[Voltage]]*0.8165)/1000</f>
        <v>0</v>
      </c>
      <c r="H14" s="2">
        <v>0</v>
      </c>
      <c r="I14" s="2">
        <v>0</v>
      </c>
      <c r="J14" s="2">
        <f>SUM(Table3[[#This Row],[SCFH]]*2.7213)</f>
        <v>0</v>
      </c>
      <c r="K14" s="2"/>
    </row>
    <row r="15" spans="1:12" x14ac:dyDescent="0.2">
      <c r="D15" s="8"/>
      <c r="E15" s="8"/>
      <c r="F15" s="8"/>
      <c r="G15" s="7">
        <f>SUM(SQRT(3)*0.85)*(Table3[[#This Row],[Amps]])*(Table3[[#This Row],[Voltage]]*0.8165)/1000</f>
        <v>0</v>
      </c>
      <c r="H15" s="2">
        <v>0</v>
      </c>
      <c r="I15" s="2">
        <v>0</v>
      </c>
      <c r="J15" s="2">
        <f>SUM(Table3[[#This Row],[SCFH]]*2.7213)</f>
        <v>0</v>
      </c>
      <c r="K15" s="2"/>
    </row>
    <row r="16" spans="1:12" x14ac:dyDescent="0.2">
      <c r="D16" s="8"/>
      <c r="E16" s="8"/>
      <c r="F16" s="8"/>
      <c r="G16" s="7">
        <f>SUM(SQRT(3)*0.85)*(Table3[[#This Row],[Amps]])*(Table3[[#This Row],[Voltage]]*0.8165)/1000</f>
        <v>0</v>
      </c>
      <c r="H16" s="2">
        <v>0</v>
      </c>
      <c r="I16" s="2">
        <v>0</v>
      </c>
      <c r="J16" s="2">
        <f>SUM(Table3[[#This Row],[SCFH]]*2.7213)</f>
        <v>0</v>
      </c>
      <c r="K16" s="2"/>
    </row>
    <row r="17" spans="4:11" x14ac:dyDescent="0.2">
      <c r="D17" s="8"/>
      <c r="E17" s="8"/>
      <c r="F17" s="8"/>
      <c r="G17" s="7">
        <f>SUM(SQRT(3)*0.85)*(Table3[[#This Row],[Amps]])*(Table3[[#This Row],[Voltage]]*0.8165)/1000</f>
        <v>0</v>
      </c>
      <c r="H17" s="2">
        <v>0</v>
      </c>
      <c r="I17" s="2">
        <v>0</v>
      </c>
      <c r="J17" s="2">
        <f>SUM(Table3[[#This Row],[SCFH]]*2.7213)</f>
        <v>0</v>
      </c>
      <c r="K17" s="2"/>
    </row>
    <row r="18" spans="4:11" x14ac:dyDescent="0.2">
      <c r="D18" s="8"/>
      <c r="E18" s="8"/>
      <c r="F18" s="8"/>
      <c r="G18" s="7">
        <f>SUM(0.85*Table3[[#This Row],[Amps]]*(Table3[[#This Row],[Voltage]]*0.8165)/1000)</f>
        <v>0</v>
      </c>
      <c r="H18" s="2">
        <v>0</v>
      </c>
      <c r="I18" s="2">
        <v>0</v>
      </c>
      <c r="J18" s="2">
        <f>SUM(Table3[[#This Row],[SCFH]]*2.7213)</f>
        <v>0</v>
      </c>
      <c r="K18" s="2"/>
    </row>
    <row r="19" spans="4:11" x14ac:dyDescent="0.2">
      <c r="D19" s="8"/>
      <c r="E19" s="8"/>
      <c r="F19" s="8"/>
      <c r="G19" s="7">
        <f>SUM(0.85*Table3[[#This Row],[Amps]]*(Table3[[#This Row],[Voltage]]*0.8165)/1000)</f>
        <v>0</v>
      </c>
      <c r="H19" s="2">
        <v>0</v>
      </c>
      <c r="I19" s="2">
        <v>0</v>
      </c>
      <c r="J19" s="2">
        <f>SUM(Table3[[#This Row],[SCFH]]*2.7213)</f>
        <v>0</v>
      </c>
      <c r="K19" s="2"/>
    </row>
    <row r="20" spans="4:11" x14ac:dyDescent="0.2">
      <c r="D20" s="8"/>
      <c r="E20" s="8"/>
      <c r="F20" s="8"/>
      <c r="G20" s="7">
        <f>SUM(0.85*Table3[[#This Row],[Amps]]*(Table3[[#This Row],[Voltage]]*0.8165)/1000)</f>
        <v>0</v>
      </c>
      <c r="H20" s="2">
        <v>0</v>
      </c>
      <c r="I20" s="2">
        <v>0</v>
      </c>
      <c r="J20" s="2">
        <f>SUM(Table3[[#This Row],[SCFH]]*2.7213)</f>
        <v>0</v>
      </c>
      <c r="K20" s="2"/>
    </row>
    <row r="21" spans="4:11" x14ac:dyDescent="0.2">
      <c r="D21" s="8"/>
      <c r="E21" s="8"/>
      <c r="F21" s="8"/>
      <c r="G21" s="7">
        <f>SUM(SQRT(3)*0.85)*(Table3[[#This Row],[Amps]])*(Table3[[#This Row],[Voltage]]*0.8165)/1000</f>
        <v>0</v>
      </c>
      <c r="H21" s="2">
        <v>0</v>
      </c>
      <c r="I21" s="2">
        <v>0</v>
      </c>
      <c r="J21" s="2">
        <f>SUM(Table3[[#This Row],[SCFH]]*2.7213)</f>
        <v>0</v>
      </c>
      <c r="K21" s="2"/>
    </row>
    <row r="22" spans="4:11" x14ac:dyDescent="0.2">
      <c r="D22" s="8"/>
      <c r="E22" s="8"/>
      <c r="F22" s="8"/>
      <c r="G22" s="7">
        <f>SUM(0.85*Table3[[#This Row],[Amps]]*(Table3[[#This Row],[Voltage]]*0.8165)/1000)</f>
        <v>0</v>
      </c>
      <c r="H22" s="2">
        <v>0</v>
      </c>
      <c r="I22" s="2">
        <v>0</v>
      </c>
      <c r="J22" s="2">
        <f>SUM(Table3[[#This Row],[SCFH]]*2.7213)</f>
        <v>0</v>
      </c>
      <c r="K22" s="2"/>
    </row>
    <row r="23" spans="4:11" x14ac:dyDescent="0.2">
      <c r="D23" s="8"/>
      <c r="E23" s="8"/>
      <c r="F23" s="8"/>
      <c r="G23" s="7">
        <f>SUM(SQRT(3)*0.85)*(Table3[[#This Row],[Amps]])*(Table3[[#This Row],[Voltage]]*0.8165)/1000</f>
        <v>0</v>
      </c>
      <c r="H23" s="2">
        <v>0</v>
      </c>
      <c r="I23" s="2">
        <v>0</v>
      </c>
      <c r="J23" s="2">
        <f>SUM(Table3[[#This Row],[SCFH]]*2.7213)</f>
        <v>0</v>
      </c>
      <c r="K23" s="2"/>
    </row>
    <row r="24" spans="4:11" x14ac:dyDescent="0.2">
      <c r="D24" s="8"/>
      <c r="E24" s="8"/>
      <c r="F24" s="8"/>
      <c r="G24" s="7">
        <f>SUM(SQRT(3)*0.85)*(Table3[[#This Row],[Amps]])*(Table3[[#This Row],[Voltage]]*0.8165)/1000</f>
        <v>0</v>
      </c>
      <c r="H24" s="2">
        <v>0</v>
      </c>
      <c r="I24" s="2">
        <v>0</v>
      </c>
      <c r="J24" s="2">
        <f>SUM(Table3[[#This Row],[SCFH]]*2.7213)</f>
        <v>0</v>
      </c>
      <c r="K24" s="2"/>
    </row>
  </sheetData>
  <phoneticPr fontId="2" type="noConversion"/>
  <conditionalFormatting sqref="L2:L24">
    <cfRule type="cellIs" dxfId="19" priority="1" operator="equal">
      <formula>"Yes"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9FEB1-79A5-4F6D-AA9C-31274B017498}">
  <dimension ref="A1:M43"/>
  <sheetViews>
    <sheetView zoomScale="80" zoomScaleNormal="80" workbookViewId="0">
      <selection activeCell="L43" sqref="L43"/>
    </sheetView>
  </sheetViews>
  <sheetFormatPr baseColWidth="10" defaultColWidth="8.83203125" defaultRowHeight="15" x14ac:dyDescent="0.2"/>
  <cols>
    <col min="1" max="1" width="24.6640625" bestFit="1" customWidth="1"/>
    <col min="2" max="2" width="19.33203125" bestFit="1" customWidth="1"/>
    <col min="3" max="3" width="23.6640625" bestFit="1" customWidth="1"/>
    <col min="4" max="4" width="31.6640625" bestFit="1" customWidth="1"/>
    <col min="5" max="5" width="32.33203125" bestFit="1" customWidth="1"/>
    <col min="6" max="6" width="30.6640625" bestFit="1" customWidth="1"/>
    <col min="7" max="7" width="30.1640625" bestFit="1" customWidth="1"/>
    <col min="8" max="8" width="28.83203125" customWidth="1"/>
    <col min="9" max="9" width="17" bestFit="1" customWidth="1"/>
    <col min="10" max="10" width="16.83203125" bestFit="1" customWidth="1"/>
    <col min="11" max="11" width="14.83203125" bestFit="1" customWidth="1"/>
    <col min="12" max="12" width="18" bestFit="1" customWidth="1"/>
    <col min="13" max="13" width="13.83203125" bestFit="1" customWidth="1"/>
  </cols>
  <sheetData>
    <row r="1" spans="1:13" x14ac:dyDescent="0.2">
      <c r="A1" t="s">
        <v>25</v>
      </c>
      <c r="B1" t="s">
        <v>26</v>
      </c>
      <c r="C1" t="s">
        <v>27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</row>
    <row r="2" spans="1:13" x14ac:dyDescent="0.2"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x14ac:dyDescent="0.2"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x14ac:dyDescent="0.2"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x14ac:dyDescent="0.2"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x14ac:dyDescent="0.2"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x14ac:dyDescent="0.2"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"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x14ac:dyDescent="0.2"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x14ac:dyDescent="0.2"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2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x14ac:dyDescent="0.2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x14ac:dyDescent="0.2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x14ac:dyDescent="0.2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x14ac:dyDescent="0.2"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x14ac:dyDescent="0.2"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3:13" x14ac:dyDescent="0.2"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3:13" x14ac:dyDescent="0.2"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3:13" x14ac:dyDescent="0.2"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3:13" x14ac:dyDescent="0.2"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3:13" x14ac:dyDescent="0.2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3:13" x14ac:dyDescent="0.2"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3:13" x14ac:dyDescent="0.2"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3:13" x14ac:dyDescent="0.2"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3:13" x14ac:dyDescent="0.2"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3:13" x14ac:dyDescent="0.2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3:13" x14ac:dyDescent="0.2"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3:13" x14ac:dyDescent="0.2"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3:13" x14ac:dyDescent="0.2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3:13" x14ac:dyDescent="0.2"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3:13" x14ac:dyDescent="0.2"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3:13" x14ac:dyDescent="0.2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B34" s="3">
        <f>SUBTOTAL(109,Table2[Duration (min)])</f>
        <v>0</v>
      </c>
      <c r="C34" s="3">
        <f>SUBTOTAL(109,Table2[Total Water Input (gal)])</f>
        <v>0</v>
      </c>
      <c r="D34" s="3">
        <f>SUBTOTAL(109,Table2[Total Waste Water Output (gal)])</f>
        <v>0</v>
      </c>
      <c r="E34" s="3">
        <f>SUBTOTAL(109,Table2[Total Grain Input (LBS)])</f>
        <v>0</v>
      </c>
      <c r="F34" s="3">
        <f>SUBTOTAL(109,Table2[Total Grain Output (LBS)])</f>
        <v>0</v>
      </c>
      <c r="G34" s="3">
        <f>SUBTOTAL(109,Table2[Total Chemical Input (gallons)])</f>
        <v>0</v>
      </c>
      <c r="H34" s="3">
        <f>SUBTOTAL(109,Table2[Total o2 Input])</f>
        <v>0</v>
      </c>
      <c r="I34" s="3">
        <f>SUBTOTAL(109,Table2[Total co2 Input])</f>
        <v>0</v>
      </c>
      <c r="J34" s="3"/>
      <c r="K34" s="3">
        <f>SUBTOTAL(109,Table2[Total kWh])</f>
        <v>0</v>
      </c>
      <c r="L34" s="3"/>
      <c r="M34" s="3">
        <f>SUBTOTAL(109,Table2[Total BTUh])</f>
        <v>0</v>
      </c>
    </row>
    <row r="35" spans="1:13" x14ac:dyDescent="0.2">
      <c r="A35" t="s">
        <v>38</v>
      </c>
      <c r="B35" s="4">
        <f>SUM(Table2[[#Totals],[Duration (min)]]/60)</f>
        <v>0</v>
      </c>
    </row>
    <row r="36" spans="1:13" x14ac:dyDescent="0.2">
      <c r="A36" t="s">
        <v>39</v>
      </c>
      <c r="B36" s="4">
        <f>SUM(B35/24)</f>
        <v>0</v>
      </c>
    </row>
    <row r="42" spans="1:13" x14ac:dyDescent="0.2">
      <c r="A42" t="s">
        <v>40</v>
      </c>
      <c r="B42" t="s">
        <v>41</v>
      </c>
      <c r="C42" t="s">
        <v>42</v>
      </c>
      <c r="D42" t="s">
        <v>43</v>
      </c>
      <c r="E42" t="s">
        <v>46</v>
      </c>
      <c r="F42" t="s">
        <v>49</v>
      </c>
      <c r="G42" t="s">
        <v>44</v>
      </c>
      <c r="H42" t="s">
        <v>45</v>
      </c>
      <c r="I42" t="s">
        <v>48</v>
      </c>
      <c r="J42" t="s">
        <v>50</v>
      </c>
      <c r="K42" t="s">
        <v>47</v>
      </c>
    </row>
    <row r="43" spans="1:13" x14ac:dyDescent="0.2">
      <c r="C43">
        <f>SUM(Table6[[#This Row],[Batch Yield (BBL)]]*31)</f>
        <v>0</v>
      </c>
      <c r="D43" s="3">
        <f>SUM(Table2[[#Totals],[Total Water Input (gal)]])</f>
        <v>0</v>
      </c>
      <c r="E43" s="3">
        <f>SUM(Table2[[#Totals],[Total Waste Water Output (gal)]])</f>
        <v>0</v>
      </c>
      <c r="F43" s="3" t="e">
        <f>SUM(Table6[[#This Row],[Total Waste Water Usage (gal)]]/Table6[[#This Row],[Total Water Usage (gal)]])</f>
        <v>#DIV/0!</v>
      </c>
      <c r="G43" s="4" t="e">
        <f>SUM(Table6[[#This Row],[Total Water Usage (gal)]]/(Table6[[#This Row],[Batch Size (BBL)]]*31))</f>
        <v>#DIV/0!</v>
      </c>
      <c r="H43" s="3" t="e">
        <f>SUM(Table6[[#This Row],[Total Waste Water Usage (gal)]]/(Table6[[#This Row],[Batch Size (BBL)]]*31))</f>
        <v>#DIV/0!</v>
      </c>
      <c r="I43" s="3" t="e">
        <f>SUM(Table2[[#Totals],[Total kWh]]/Table6[[#This Row],[Batch Size (BBL)]])</f>
        <v>#DIV/0!</v>
      </c>
      <c r="J43" s="3" t="e">
        <f>SUM(Table2[[#Totals],[Total BTUh]]/Table6[[#This Row],[Batch Size (BBL)]])</f>
        <v>#DIV/0!</v>
      </c>
      <c r="K43" s="3" t="e">
        <f>SUM(Table2[[#Totals],[Total co2 Input]]/Table6[[#This Row],[Batch Size (BBL)]])</f>
        <v>#DIV/0!</v>
      </c>
    </row>
  </sheetData>
  <conditionalFormatting sqref="C2:M33">
    <cfRule type="cellIs" dxfId="18" priority="1" operator="greaterThan">
      <formula>0</formula>
    </cfRule>
  </conditionalFormatting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x W 0 l V W / 8 c y u k A A A A 9 g A A A B I A H A B D b 2 5 m a W c v U G F j a 2 F n Z S 5 4 b W w g o h g A K K A U A A A A A A A A A A A A A A A A A A A A A A A A A A A A h Y 9 B D o I w F E S v Q r q n L Z g Y J J + y c C u J C d G 4 J a V C I 3 w M L Z a 7 u f B I X k G M o u 5 c z p u 3 m L l f b 5 C O b e N d V G 9 0 h w k J K C e e Q t m V G q u E D P b o R y Q V s C 3 k q a i U N 8 l o 4 t G U C a m t P c e M O e e o W 9 C u r 1 j I e c A O 2 S a X t W o L 8 p H 1 f 9 n X a G y B U h E B + 9 c Y E d K A R 3 Q V L S k H N k P I N H 6 F c N r 7 b H 8 g r I f G D r 0 S C v 1 d D m y O w N 4 f x A N Q S w M E F A A C A A g A x W 0 l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V t J V U o i k e 4 D g A A A B E A A A A T A B w A R m 9 y b X V s Y X M v U 2 V j d G l v b j E u b S C i G A A o o B Q A A A A A A A A A A A A A A A A A A A A A A A A A A A A r T k 0 u y c z P U w i G 0 I b W A F B L A Q I t A B Q A A g A I A M V t J V V v / H M r p A A A A P Y A A A A S A A A A A A A A A A A A A A A A A A A A A A B D b 2 5 m a W c v U G F j a 2 F n Z S 5 4 b W x Q S w E C L Q A U A A I A C A D F b S V V D 8 r p q 6 Q A A A D p A A A A E w A A A A A A A A A A A A A A A A D w A A A A W 0 N v b n R l b n R f V H l w Z X N d L n h t b F B L A Q I t A B Q A A g A I A M V t J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d L k d C 8 G O V T p D a b d Q c 5 c 0 d A A A A A A I A A A A A A B B m A A A A A Q A A I A A A A L q p s b t L f / G X 5 G v 2 5 F E v N R q m k V / x 9 i v V t V + F m I z U n f k l A A A A A A 6 A A A A A A g A A I A A A A K q J h I z v 6 G W N v r 0 E 3 r F k L r G c V d V n t f 0 8 V p u 3 G H Q G 3 M C J U A A A A C X s 7 y 3 W H Z e L r 6 T d D W 8 D M L M / c / s T 1 S O / c c m 8 Q X r E r N 1 n d s 5 i 5 h G x H 2 4 p o j 7 9 r 7 d 2 s c H m j a a T R U L D m I n i f Y j k e u 8 / m C j D 8 P w G J e j l m P a F 4 Q W T Q A A A A N W 0 p Y t Q x I z E m Z d s m z l 7 R / m W u 4 D 9 p z J 0 o J h 5 T g Q z r R Q + v Q s B n h + K I w V X 6 Y p Z Q q H k 6 S l / Q e u 8 x Y E A y T a 2 8 g 5 w k f g = < / D a t a M a s h u p > 
</file>

<file path=customXml/itemProps1.xml><?xml version="1.0" encoding="utf-8"?>
<ds:datastoreItem xmlns:ds="http://schemas.openxmlformats.org/officeDocument/2006/customXml" ds:itemID="{936F2A37-8732-4BBE-9D39-8CFDF310E98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Suppler Information</vt:lpstr>
      <vt:lpstr>Utilities</vt:lpstr>
      <vt:lpstr>Building and Equipment List</vt:lpstr>
      <vt:lpstr>Beer 1 Scorecard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Pollard</dc:creator>
  <cp:keywords/>
  <dc:description/>
  <cp:lastModifiedBy>Heather Higinbotham</cp:lastModifiedBy>
  <cp:revision/>
  <dcterms:created xsi:type="dcterms:W3CDTF">2022-09-05T18:48:58Z</dcterms:created>
  <dcterms:modified xsi:type="dcterms:W3CDTF">2025-01-29T04:11:12Z</dcterms:modified>
  <cp:category/>
  <cp:contentStatus/>
</cp:coreProperties>
</file>